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Расходная часть" sheetId="1" r:id="rId1"/>
    <sheet name="Доходная часть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43" i="2" l="1"/>
  <c r="F44" i="2" s="1"/>
  <c r="E43" i="2"/>
  <c r="E44" i="2" s="1"/>
  <c r="D43" i="2"/>
  <c r="D44" i="2" s="1"/>
  <c r="T41" i="2"/>
  <c r="T40" i="2"/>
  <c r="T39" i="2"/>
  <c r="R39" i="2"/>
  <c r="P39" i="2"/>
  <c r="N39" i="2"/>
  <c r="R38" i="2"/>
  <c r="S38" i="2" s="1"/>
  <c r="P38" i="2"/>
  <c r="N38" i="2"/>
  <c r="T38" i="2" s="1"/>
  <c r="I38" i="2"/>
  <c r="H38" i="2"/>
  <c r="G38" i="2"/>
  <c r="C38" i="2"/>
  <c r="R37" i="2"/>
  <c r="P37" i="2"/>
  <c r="Q37" i="2" s="1"/>
  <c r="N37" i="2"/>
  <c r="I37" i="2"/>
  <c r="H37" i="2"/>
  <c r="G37" i="2"/>
  <c r="C37" i="2" s="1"/>
  <c r="R36" i="2"/>
  <c r="S36" i="2" s="1"/>
  <c r="P36" i="2"/>
  <c r="N36" i="2"/>
  <c r="O36" i="2" s="1"/>
  <c r="I36" i="2"/>
  <c r="H36" i="2"/>
  <c r="H34" i="2" s="1"/>
  <c r="H32" i="2" s="1"/>
  <c r="G36" i="2"/>
  <c r="C36" i="2"/>
  <c r="R35" i="2"/>
  <c r="P35" i="2"/>
  <c r="Q35" i="2" s="1"/>
  <c r="N35" i="2"/>
  <c r="I35" i="2"/>
  <c r="H35" i="2"/>
  <c r="G35" i="2"/>
  <c r="C35" i="2" s="1"/>
  <c r="R34" i="2"/>
  <c r="N34" i="2"/>
  <c r="J34" i="2"/>
  <c r="I34" i="2"/>
  <c r="I43" i="2" s="1"/>
  <c r="G34" i="2"/>
  <c r="M32" i="2"/>
  <c r="L32" i="2"/>
  <c r="K32" i="2"/>
  <c r="J32" i="2"/>
  <c r="I32" i="2"/>
  <c r="G32" i="2"/>
  <c r="F32" i="2"/>
  <c r="E32" i="2"/>
  <c r="D32" i="2"/>
  <c r="N31" i="2"/>
  <c r="O31" i="2" s="1"/>
  <c r="C31" i="2"/>
  <c r="N30" i="2"/>
  <c r="T30" i="2" s="1"/>
  <c r="C30" i="2"/>
  <c r="T29" i="2"/>
  <c r="O29" i="2"/>
  <c r="C29" i="2"/>
  <c r="G28" i="2"/>
  <c r="C28" i="2" s="1"/>
  <c r="K21" i="2"/>
  <c r="K20" i="2"/>
  <c r="K18" i="2"/>
  <c r="K17" i="2"/>
  <c r="K14" i="2"/>
  <c r="K13" i="2"/>
  <c r="J79" i="1"/>
  <c r="J70" i="1"/>
  <c r="P57" i="1"/>
  <c r="P56" i="1"/>
  <c r="P55" i="1"/>
  <c r="P54" i="1"/>
  <c r="H53" i="1"/>
  <c r="P53" i="1" s="1"/>
  <c r="P52" i="1"/>
  <c r="I52" i="1"/>
  <c r="C52" i="1"/>
  <c r="P51" i="1"/>
  <c r="P50" i="1"/>
  <c r="P49" i="1"/>
  <c r="P48" i="1"/>
  <c r="P47" i="1"/>
  <c r="P46" i="1"/>
  <c r="P45" i="1"/>
  <c r="P44" i="1"/>
  <c r="P43" i="1"/>
  <c r="C43" i="1"/>
  <c r="N42" i="1"/>
  <c r="O42" i="1" s="1"/>
  <c r="K42" i="1"/>
  <c r="L42" i="1" s="1"/>
  <c r="H42" i="1"/>
  <c r="P42" i="1" s="1"/>
  <c r="Q42" i="1" s="1"/>
  <c r="C42" i="1"/>
  <c r="H41" i="1"/>
  <c r="I41" i="1" s="1"/>
  <c r="C41" i="1"/>
  <c r="P40" i="1"/>
  <c r="L40" i="1"/>
  <c r="I40" i="1"/>
  <c r="C40" i="1"/>
  <c r="P39" i="1"/>
  <c r="I39" i="1"/>
  <c r="C39" i="1"/>
  <c r="P38" i="1"/>
  <c r="I38" i="1"/>
  <c r="C38" i="1"/>
  <c r="N37" i="1"/>
  <c r="O37" i="1" s="1"/>
  <c r="M37" i="1"/>
  <c r="K37" i="1"/>
  <c r="J37" i="1"/>
  <c r="H37" i="1"/>
  <c r="I37" i="1" s="1"/>
  <c r="G37" i="1"/>
  <c r="F37" i="1"/>
  <c r="E37" i="1"/>
  <c r="D37" i="1"/>
  <c r="N36" i="1"/>
  <c r="O36" i="1" s="1"/>
  <c r="K36" i="1"/>
  <c r="L36" i="1" s="1"/>
  <c r="H36" i="1"/>
  <c r="C36" i="1"/>
  <c r="P35" i="1"/>
  <c r="L35" i="1"/>
  <c r="I35" i="1"/>
  <c r="C35" i="1"/>
  <c r="N34" i="1"/>
  <c r="P34" i="1" s="1"/>
  <c r="L34" i="1"/>
  <c r="G34" i="1"/>
  <c r="I34" i="1" s="1"/>
  <c r="N33" i="1"/>
  <c r="O33" i="1" s="1"/>
  <c r="K33" i="1"/>
  <c r="L33" i="1" s="1"/>
  <c r="H33" i="1"/>
  <c r="C33" i="1"/>
  <c r="N32" i="1"/>
  <c r="O32" i="1" s="1"/>
  <c r="K32" i="1"/>
  <c r="J32" i="1"/>
  <c r="C32" i="1" s="1"/>
  <c r="H32" i="1"/>
  <c r="I32" i="1" s="1"/>
  <c r="N31" i="1"/>
  <c r="O31" i="1" s="1"/>
  <c r="L31" i="1"/>
  <c r="I31" i="1"/>
  <c r="C31" i="1"/>
  <c r="K30" i="1"/>
  <c r="L30" i="1" s="1"/>
  <c r="H30" i="1"/>
  <c r="G30" i="1"/>
  <c r="P29" i="1"/>
  <c r="P28" i="1"/>
  <c r="L28" i="1"/>
  <c r="P27" i="1"/>
  <c r="P26" i="1"/>
  <c r="P25" i="1"/>
  <c r="H24" i="1"/>
  <c r="P24" i="1" s="1"/>
  <c r="N23" i="1"/>
  <c r="M23" i="1"/>
  <c r="K23" i="1"/>
  <c r="K17" i="1" s="1"/>
  <c r="J23" i="1"/>
  <c r="G23" i="1"/>
  <c r="G17" i="1" s="1"/>
  <c r="G11" i="1" s="1"/>
  <c r="G4" i="1" s="1"/>
  <c r="F23" i="1"/>
  <c r="E23" i="1"/>
  <c r="E17" i="1" s="1"/>
  <c r="E11" i="1" s="1"/>
  <c r="E4" i="1" s="1"/>
  <c r="D23" i="1"/>
  <c r="C23" i="1"/>
  <c r="P22" i="1"/>
  <c r="I22" i="1"/>
  <c r="C22" i="1"/>
  <c r="N21" i="1"/>
  <c r="O21" i="1" s="1"/>
  <c r="L21" i="1"/>
  <c r="I21" i="1"/>
  <c r="C21" i="1"/>
  <c r="O20" i="1"/>
  <c r="K20" i="1"/>
  <c r="L20" i="1" s="1"/>
  <c r="H20" i="1"/>
  <c r="P20" i="1" s="1"/>
  <c r="C20" i="1"/>
  <c r="N19" i="1"/>
  <c r="P19" i="1" s="1"/>
  <c r="L19" i="1"/>
  <c r="I19" i="1"/>
  <c r="C19" i="1"/>
  <c r="N18" i="1"/>
  <c r="O18" i="1" s="1"/>
  <c r="L18" i="1"/>
  <c r="I18" i="1"/>
  <c r="C18" i="1"/>
  <c r="M17" i="1"/>
  <c r="J17" i="1"/>
  <c r="F17" i="1"/>
  <c r="D17" i="1"/>
  <c r="N16" i="1"/>
  <c r="O16" i="1" s="1"/>
  <c r="L16" i="1"/>
  <c r="I16" i="1"/>
  <c r="C16" i="1"/>
  <c r="N15" i="1"/>
  <c r="K15" i="1"/>
  <c r="P15" i="1" s="1"/>
  <c r="H15" i="1"/>
  <c r="N14" i="1"/>
  <c r="K14" i="1"/>
  <c r="C14" i="1"/>
  <c r="C12" i="1" s="1"/>
  <c r="N13" i="1"/>
  <c r="O13" i="1" s="1"/>
  <c r="K13" i="1"/>
  <c r="J13" i="1"/>
  <c r="H13" i="1"/>
  <c r="P13" i="1" s="1"/>
  <c r="C13" i="1"/>
  <c r="N12" i="1"/>
  <c r="O12" i="1" s="1"/>
  <c r="M12" i="1"/>
  <c r="K12" i="1"/>
  <c r="K11" i="1" s="1"/>
  <c r="K4" i="1" s="1"/>
  <c r="J12" i="1"/>
  <c r="H12" i="1"/>
  <c r="G12" i="1"/>
  <c r="F12" i="1"/>
  <c r="E12" i="1"/>
  <c r="D12" i="1"/>
  <c r="M11" i="1"/>
  <c r="M4" i="1" s="1"/>
  <c r="J11" i="1"/>
  <c r="J4" i="1" s="1"/>
  <c r="F11" i="1"/>
  <c r="F4" i="1" s="1"/>
  <c r="D11" i="1"/>
  <c r="D4" i="1" s="1"/>
  <c r="H10" i="1"/>
  <c r="P10" i="1" s="1"/>
  <c r="P9" i="1"/>
  <c r="P8" i="1"/>
  <c r="P7" i="1" s="1"/>
  <c r="P6" i="1" s="1"/>
  <c r="N7" i="1"/>
  <c r="O7" i="1" s="1"/>
  <c r="O6" i="1" s="1"/>
  <c r="K7" i="1"/>
  <c r="L7" i="1" s="1"/>
  <c r="L6" i="1" s="1"/>
  <c r="H7" i="1"/>
  <c r="I7" i="1" s="1"/>
  <c r="C7" i="1"/>
  <c r="M6" i="1"/>
  <c r="K6" i="1"/>
  <c r="J6" i="1"/>
  <c r="G6" i="1"/>
  <c r="F6" i="1"/>
  <c r="E6" i="1"/>
  <c r="D6" i="1"/>
  <c r="C6" i="1"/>
  <c r="P33" i="1" l="1"/>
  <c r="U29" i="2"/>
  <c r="C34" i="2"/>
  <c r="C32" i="2" s="1"/>
  <c r="O34" i="2"/>
  <c r="S34" i="2"/>
  <c r="S32" i="2" s="1"/>
  <c r="U38" i="2"/>
  <c r="H6" i="1"/>
  <c r="I6" i="1" s="1"/>
  <c r="N6" i="1"/>
  <c r="Q7" i="1"/>
  <c r="L32" i="1"/>
  <c r="I33" i="1"/>
  <c r="O34" i="1"/>
  <c r="Q35" i="1"/>
  <c r="P36" i="1"/>
  <c r="Q36" i="1" s="1"/>
  <c r="Q40" i="1"/>
  <c r="Q52" i="1"/>
  <c r="K15" i="2"/>
  <c r="K22" i="2"/>
  <c r="N28" i="2"/>
  <c r="O28" i="2" s="1"/>
  <c r="N32" i="2"/>
  <c r="O32" i="2" s="1"/>
  <c r="R32" i="2"/>
  <c r="P34" i="2"/>
  <c r="O35" i="2"/>
  <c r="S35" i="2"/>
  <c r="Q36" i="2"/>
  <c r="O37" i="2"/>
  <c r="S37" i="2"/>
  <c r="O38" i="2"/>
  <c r="U30" i="2"/>
  <c r="T28" i="2"/>
  <c r="U28" i="2" s="1"/>
  <c r="O30" i="2"/>
  <c r="T31" i="2"/>
  <c r="U31" i="2" s="1"/>
  <c r="T35" i="2"/>
  <c r="T36" i="2"/>
  <c r="U36" i="2" s="1"/>
  <c r="T37" i="2"/>
  <c r="U37" i="2" s="1"/>
  <c r="H43" i="2"/>
  <c r="G43" i="2" s="1"/>
  <c r="G44" i="2" s="1"/>
  <c r="I44" i="2"/>
  <c r="C43" i="2"/>
  <c r="I12" i="1"/>
  <c r="L13" i="1"/>
  <c r="Q19" i="1"/>
  <c r="Q22" i="1"/>
  <c r="Q39" i="1"/>
  <c r="L4" i="1"/>
  <c r="Q6" i="1"/>
  <c r="L11" i="1"/>
  <c r="L12" i="1"/>
  <c r="P14" i="1"/>
  <c r="P12" i="1" s="1"/>
  <c r="L17" i="1"/>
  <c r="O19" i="1"/>
  <c r="Q20" i="1"/>
  <c r="L23" i="1"/>
  <c r="Q33" i="1"/>
  <c r="I36" i="1"/>
  <c r="L37" i="1"/>
  <c r="C37" i="1"/>
  <c r="Q38" i="1"/>
  <c r="I42" i="1"/>
  <c r="Q13" i="1"/>
  <c r="P16" i="1"/>
  <c r="Q16" i="1" s="1"/>
  <c r="P18" i="1"/>
  <c r="P21" i="1"/>
  <c r="Q21" i="1" s="1"/>
  <c r="P30" i="1"/>
  <c r="P23" i="1" s="1"/>
  <c r="Q23" i="1" s="1"/>
  <c r="P31" i="1"/>
  <c r="Q31" i="1" s="1"/>
  <c r="P32" i="1"/>
  <c r="Q32" i="1" s="1"/>
  <c r="P37" i="1"/>
  <c r="P41" i="1"/>
  <c r="Q41" i="1" s="1"/>
  <c r="G53" i="1"/>
  <c r="M53" i="1"/>
  <c r="I13" i="1"/>
  <c r="N17" i="1"/>
  <c r="I20" i="1"/>
  <c r="H23" i="1"/>
  <c r="C34" i="1"/>
  <c r="C17" i="1" s="1"/>
  <c r="C11" i="1" s="1"/>
  <c r="C4" i="1" s="1"/>
  <c r="J53" i="1"/>
  <c r="Q34" i="2" l="1"/>
  <c r="Q32" i="2" s="1"/>
  <c r="P32" i="2"/>
  <c r="U35" i="2"/>
  <c r="T34" i="2"/>
  <c r="H44" i="2"/>
  <c r="C44" i="2" s="1"/>
  <c r="Q37" i="1"/>
  <c r="H17" i="1"/>
  <c r="I23" i="1"/>
  <c r="O17" i="1"/>
  <c r="N11" i="1"/>
  <c r="Q18" i="1"/>
  <c r="P17" i="1"/>
  <c r="Q17" i="1" s="1"/>
  <c r="Q12" i="1"/>
  <c r="P11" i="1"/>
  <c r="Q34" i="1"/>
  <c r="C53" i="1"/>
  <c r="Q53" i="1" s="1"/>
  <c r="I53" i="1"/>
  <c r="U34" i="2" l="1"/>
  <c r="T32" i="2"/>
  <c r="U32" i="2" s="1"/>
  <c r="I17" i="1"/>
  <c r="H11" i="1"/>
  <c r="Q11" i="1"/>
  <c r="P4" i="1"/>
  <c r="Q4" i="1" s="1"/>
  <c r="O11" i="1"/>
  <c r="N4" i="1"/>
  <c r="O4" i="1" s="1"/>
  <c r="I11" i="1" l="1"/>
  <c r="H4" i="1"/>
  <c r="I4" i="1" s="1"/>
</calcChain>
</file>

<file path=xl/comments1.xml><?xml version="1.0" encoding="utf-8"?>
<comments xmlns="http://schemas.openxmlformats.org/spreadsheetml/2006/main">
  <authors>
    <author>Автор</author>
  </authors>
  <commentList>
    <comment ref="H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Проверка расходов с ОСВ:
11 349 291 - 637 339 (исп.резервы) + 923 965 (начисл.резервы) = 11 635 917</t>
        </r>
      </text>
    </comment>
    <comment ref="K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Проверка расходов по сч.26:
4 272 838 - 314 264 (исп.резерв по отпускам) + 408 997,71 (начисленный резерв в целом) - 266 299,37 (з/п Находки, учтенная во Вл-ке) = 4 101 272,34</t>
        </r>
      </text>
    </comment>
    <comment ref="N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необх учесть янв-февр из отдельной базы!</t>
        </r>
      </text>
    </comment>
    <comment ref="K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4000 мат помощь Асецкой ушли в непредвиденные</t>
        </r>
      </text>
    </comment>
    <comment ref="H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Сюда дб включена сумма комп отпуска при увольнении 70 649,3 руб., а такде страховые взносы по ним 21 336,10 руб. Но эта сумма находится в з/пл согл. Штатного расписания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K3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65 500 ПромторгКомплект 2011
10 000 Ренессанс 2014
15 000 Санстройкомп 2012
5 000 Стройкомп 2014
20 000 ЭнергоСервис 2012</t>
        </r>
      </text>
    </comment>
    <comment ref="N3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ОСВ всего оплачено 1 740 000. Из них на 2014 г. -100 000 (Строительный контроль); +110 000 оплачено в 2012 за 2013 г. 50 000 (МУП ВПЭС) и 60 000 (СТ.Град); + 45000 (Эверест) выбывший за 2013 г.</t>
        </r>
      </text>
    </comment>
    <comment ref="N3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45000 оплатил Эверест частично ЧВ 2013. и выбыл(</t>
        </r>
      </text>
    </comment>
  </commentList>
</comments>
</file>

<file path=xl/sharedStrings.xml><?xml version="1.0" encoding="utf-8"?>
<sst xmlns="http://schemas.openxmlformats.org/spreadsheetml/2006/main" count="284" uniqueCount="198">
  <si>
    <t>№ п/п</t>
  </si>
  <si>
    <t xml:space="preserve">план на 2013 год </t>
  </si>
  <si>
    <t>Расходы других периодов, оплаченные в 2013</t>
  </si>
  <si>
    <t>ФАКТ за 2013 год</t>
  </si>
  <si>
    <t>Всего начислено расходов 2013</t>
  </si>
  <si>
    <t>Исполнение Сметы за 2013 год, %</t>
  </si>
  <si>
    <t>Владивосток</t>
  </si>
  <si>
    <t>Находка</t>
  </si>
  <si>
    <t>Уссурийск</t>
  </si>
  <si>
    <t>оплачено</t>
  </si>
  <si>
    <t>план</t>
  </si>
  <si>
    <t>начислено расходов</t>
  </si>
  <si>
    <t>исполнение Сметы</t>
  </si>
  <si>
    <t>II.</t>
  </si>
  <si>
    <t>РАСХОДЫ</t>
  </si>
  <si>
    <t>3.</t>
  </si>
  <si>
    <t>Единовременные расходы</t>
  </si>
  <si>
    <t>3.1</t>
  </si>
  <si>
    <t>Приобретение основных средств, в том числе взамен изношенных, текущий ремонт</t>
  </si>
  <si>
    <t>3.1.1</t>
  </si>
  <si>
    <t>Текущий ремонт офиса, вывески, таблички, плакаты</t>
  </si>
  <si>
    <t>3.1.2</t>
  </si>
  <si>
    <t xml:space="preserve">Приобретение мебели (металлические шкафы для документов, стулья и кресла и т.д.) </t>
  </si>
  <si>
    <t>3.1.3</t>
  </si>
  <si>
    <t>Приобретение компьютеров и оргтехники (включая оборудование для интернет-конференций)</t>
  </si>
  <si>
    <t>4.</t>
  </si>
  <si>
    <t>Текущие расходы</t>
  </si>
  <si>
    <t>4.1</t>
  </si>
  <si>
    <t>Фонд оплаты труда</t>
  </si>
  <si>
    <t>4.1.1</t>
  </si>
  <si>
    <t>Заработная плата согласно штатного расписания</t>
  </si>
  <si>
    <t>4.1.2</t>
  </si>
  <si>
    <t>Страховые взносы</t>
  </si>
  <si>
    <t>4.1.3</t>
  </si>
  <si>
    <t>Резерв на оплату отпусков (использование в отчетном периоде)</t>
  </si>
  <si>
    <t>4.2</t>
  </si>
  <si>
    <t xml:space="preserve">Арендная плата за офисные помещения                     </t>
  </si>
  <si>
    <t>4.3</t>
  </si>
  <si>
    <t>Административные и общехозяйственные расходы (включая аренду автотранспорта, командировочные расходы)</t>
  </si>
  <si>
    <t>4.3.1</t>
  </si>
  <si>
    <t xml:space="preserve">Аренда автотранспорта  </t>
  </si>
  <si>
    <t>4.3.2</t>
  </si>
  <si>
    <t xml:space="preserve">ГСМ                      </t>
  </si>
  <si>
    <t>4.3.3</t>
  </si>
  <si>
    <t>Обслуживание компьютеров</t>
  </si>
  <si>
    <t>4.3.4</t>
  </si>
  <si>
    <t>Услуги связи, интернет</t>
  </si>
  <si>
    <t>4.3.5</t>
  </si>
  <si>
    <t>Поддержка и развитие сайта</t>
  </si>
  <si>
    <t>4.3.6</t>
  </si>
  <si>
    <t>Программное обеспечение</t>
  </si>
  <si>
    <t>1С, информационно-техническое сопровождение 1С</t>
  </si>
  <si>
    <t>Приобретение ПП 1С</t>
  </si>
  <si>
    <t>Правовая система Гарант</t>
  </si>
  <si>
    <t>Эдектронный реестр СРО</t>
  </si>
  <si>
    <t>Поддержка Контур-Экстерн</t>
  </si>
  <si>
    <t>1С Битрикс (продление лицензии)</t>
  </si>
  <si>
    <t>Иные программы (Windows, Kaspersky и т.п.</t>
  </si>
  <si>
    <t>4.3.7</t>
  </si>
  <si>
    <t xml:space="preserve">Услуги банков               </t>
  </si>
  <si>
    <t>4.3.8</t>
  </si>
  <si>
    <t>Командирововчные расходы, в том числе компенсация членам Совета</t>
  </si>
  <si>
    <t>4.3.9</t>
  </si>
  <si>
    <t>Канцелярия и хоз.расходы</t>
  </si>
  <si>
    <t>4.3.10</t>
  </si>
  <si>
    <t>Почтовые расходы</t>
  </si>
  <si>
    <t>4.3.11</t>
  </si>
  <si>
    <t>Представительские расходы</t>
  </si>
  <si>
    <t>4.3.12</t>
  </si>
  <si>
    <t>Налог на имущество, экология</t>
  </si>
  <si>
    <t>5.</t>
  </si>
  <si>
    <t>Прочие расходы</t>
  </si>
  <si>
    <t>5.1</t>
  </si>
  <si>
    <t>Аудиторская проверка</t>
  </si>
  <si>
    <t>5.2</t>
  </si>
  <si>
    <t>Членский взнос в Национальное объединение строителей</t>
  </si>
  <si>
    <t>5.3</t>
  </si>
  <si>
    <t>Расходы на СМИ, PR и позиционирование</t>
  </si>
  <si>
    <t>5.4</t>
  </si>
  <si>
    <t xml:space="preserve">Организация и проведение собраний НП (не менее 2-4 х в год)                                             </t>
  </si>
  <si>
    <t>5.5</t>
  </si>
  <si>
    <t xml:space="preserve">Непредвиденные расходы </t>
  </si>
  <si>
    <t>…</t>
  </si>
  <si>
    <t>госпошлина</t>
  </si>
  <si>
    <t>материальная помощь</t>
  </si>
  <si>
    <t>подарки членам и сотр. Партнерства</t>
  </si>
  <si>
    <t>штрафы и пени</t>
  </si>
  <si>
    <t>визитки</t>
  </si>
  <si>
    <t>заключение о расходе топлива</t>
  </si>
  <si>
    <t>услуги нотариусов</t>
  </si>
  <si>
    <t>украшение офиса</t>
  </si>
  <si>
    <t>переезд офиса</t>
  </si>
  <si>
    <t>5.6</t>
  </si>
  <si>
    <t>Оплата за проведение проверок независимыми экспертами</t>
  </si>
  <si>
    <t>РЕЗЕРВНЫЙ ФОНД СОВЕТА</t>
  </si>
  <si>
    <t>Услуги строительно-монтажной экспертизы по объекту рекультивация существующего полигона ТБО в г.Владивосток</t>
  </si>
  <si>
    <t>Участие в Дальневосточном инвестиционном конгрессе с 06.09.13 по 07.09.13</t>
  </si>
  <si>
    <t>материальная помощь в связи с травмой на производстве</t>
  </si>
  <si>
    <t>страховые взносы, выплаченные с мат.помощи в связи с травмой на производстве</t>
  </si>
  <si>
    <t>Остаток денежных средств на расчетных счетах на конец отчетного периода</t>
  </si>
  <si>
    <t>на 31.12.2013</t>
  </si>
  <si>
    <t>А</t>
  </si>
  <si>
    <t>Взносы в КФ:</t>
  </si>
  <si>
    <t>Наименование банка</t>
  </si>
  <si>
    <t>Номер счета</t>
  </si>
  <si>
    <t>Сумма</t>
  </si>
  <si>
    <t>"АЗИАТСКО-ТИХООКЕАНСКИЙ БАНК" (ОАО).</t>
  </si>
  <si>
    <t>44220681010058000003.</t>
  </si>
  <si>
    <t>ОАО "МДМ БАНК"</t>
  </si>
  <si>
    <t>42206810212160413439.</t>
  </si>
  <si>
    <t>ОАО СКБ ПРИМОРЬЯ "ПРИМСОЦБАНК"</t>
  </si>
  <si>
    <t>42206810300510000001.</t>
  </si>
  <si>
    <t>42206810400100000023.</t>
  </si>
  <si>
    <t>42206810412160213439.</t>
  </si>
  <si>
    <t>42206810512160113439.</t>
  </si>
  <si>
    <t>42206810800100000021.</t>
  </si>
  <si>
    <t>42206810600510000002.</t>
  </si>
  <si>
    <t>Итого:</t>
  </si>
  <si>
    <t>В</t>
  </si>
  <si>
    <t>Единовременные и годовые взносы:</t>
  </si>
  <si>
    <t>"ПРОМСВЯЗЬБАНК"</t>
  </si>
  <si>
    <t>42204810207000000001.</t>
  </si>
  <si>
    <t>"СБЕРБАНК"</t>
  </si>
  <si>
    <t>40703810950260010279.</t>
  </si>
  <si>
    <t>40703810850260010341.</t>
  </si>
  <si>
    <t>40703810700100000053.</t>
  </si>
  <si>
    <t>40703810687000095702.</t>
  </si>
  <si>
    <t>ОАО СКБ ПРИМОРЬЯ "ПРИМСОЦБАНК" г. Находка</t>
  </si>
  <si>
    <t>40703810100200000032.</t>
  </si>
  <si>
    <t>Отчет об исполнении Сметы за 2013 год</t>
  </si>
  <si>
    <t>Остаток денежных средств на расчетных счетах на 01.01.2013 г.</t>
  </si>
  <si>
    <t>на депозитах:</t>
  </si>
  <si>
    <t>Примсоцбанк г. Находка (депозитный)</t>
  </si>
  <si>
    <t>42207810000400000002</t>
  </si>
  <si>
    <t>Примсоцбанк (депозитный)</t>
  </si>
  <si>
    <t>42207810300400000003</t>
  </si>
  <si>
    <t>Промсвязьбанк (депозитный)</t>
  </si>
  <si>
    <t>42206810407000000003</t>
  </si>
  <si>
    <t>42206810500100000017</t>
  </si>
  <si>
    <t>42206810800100000021</t>
  </si>
  <si>
    <t>ХФ ОАО "МДМ БАНК" (депозитный)</t>
  </si>
  <si>
    <t>42206810412160213439</t>
  </si>
  <si>
    <t>42206810512160113439</t>
  </si>
  <si>
    <t>на расчетных счетах:</t>
  </si>
  <si>
    <t>Примсоцбанк г. Владивосток (расч.)</t>
  </si>
  <si>
    <t>40703810700100000053</t>
  </si>
  <si>
    <t>Промсвязьбанк г. Владивосток (расч.)</t>
  </si>
  <si>
    <t>40703810780000095702</t>
  </si>
  <si>
    <t>итого</t>
  </si>
  <si>
    <t>Б</t>
  </si>
  <si>
    <t>Сбербанк г.Владивосток (расч.)</t>
  </si>
  <si>
    <t>40703810850260010341</t>
  </si>
  <si>
    <t>40703810650260010279</t>
  </si>
  <si>
    <t>Примсоцбанк г.Находка</t>
  </si>
  <si>
    <t>40703810200200000032</t>
  </si>
  <si>
    <t>Примсоцбанк г.Уссурийск</t>
  </si>
  <si>
    <t>40703810600200000146</t>
  </si>
  <si>
    <t>план на 2013 год</t>
  </si>
  <si>
    <t>% исполнения сметы за 2013 год</t>
  </si>
  <si>
    <t>Всего</t>
  </si>
  <si>
    <t>поступления других периодов, полученные в 2013 году</t>
  </si>
  <si>
    <t>Всего за 2013 год</t>
  </si>
  <si>
    <t>Всего получено</t>
  </si>
  <si>
    <t xml:space="preserve">Поступило </t>
  </si>
  <si>
    <t>%</t>
  </si>
  <si>
    <t>I.</t>
  </si>
  <si>
    <t>ПОСТУПЛЕНИЯ:</t>
  </si>
  <si>
    <t>1.</t>
  </si>
  <si>
    <t>-</t>
  </si>
  <si>
    <t>1.1.</t>
  </si>
  <si>
    <t>* взносы в КФ</t>
  </si>
  <si>
    <t>1.2.</t>
  </si>
  <si>
    <t>** проценты с депозитов, зачисляемые в КФ</t>
  </si>
  <si>
    <t>1.3.</t>
  </si>
  <si>
    <t>налог на прибыль</t>
  </si>
  <si>
    <t>СОБСТВЕННАЯ ДОХОДНАЯ ЧАСТЬ ПАРТНЕРСТВА:</t>
  </si>
  <si>
    <t>2.</t>
  </si>
  <si>
    <t>Вступительные взносы</t>
  </si>
  <si>
    <t>Ежегодные членские взносы</t>
  </si>
  <si>
    <t>компании со взносом 60 тыс. руб.</t>
  </si>
  <si>
    <t>компании со взносом 100 тыс. руб.</t>
  </si>
  <si>
    <t>компании со взносом 250 тыс. руб.</t>
  </si>
  <si>
    <t>компании со взносом 400 тыс. руб.</t>
  </si>
  <si>
    <t>2.1.</t>
  </si>
  <si>
    <t>Прочие поступления (внутреннее движение)</t>
  </si>
  <si>
    <t>Получено от ФСС возмещение по произведенным расходам</t>
  </si>
  <si>
    <t>Получено процентов от размещения членских взносов с учетом налога на прибыль</t>
  </si>
  <si>
    <t>Справочно</t>
  </si>
  <si>
    <t>Перераспределение доходов НП СРО "РОС ПК" согласно Положения о Филиале</t>
  </si>
  <si>
    <t xml:space="preserve">Откорректированные доходы  (используются для оценки Сметы расходов) </t>
  </si>
  <si>
    <t xml:space="preserve">УТВЕРЖДЕН </t>
  </si>
  <si>
    <t>Решением Совета Некоммерческого партнерства</t>
  </si>
  <si>
    <t>Саморегулируемой организации</t>
  </si>
  <si>
    <t xml:space="preserve">«Региональное объединение </t>
  </si>
  <si>
    <t>строителей Приморского края»</t>
  </si>
  <si>
    <t>Председатель Совета НП СРО «РОС ПК»</t>
  </si>
  <si>
    <t xml:space="preserve"> ____________________ Ломакина М.А.</t>
  </si>
  <si>
    <t>Протокол № 156/С от «10» июня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</si>
</sst>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#,##0_р_."/>
    <numFmt numFmtId="166" formatCode="#,##0.00_р_.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Arial Cyr"/>
      <charset val="204"/>
    </font>
    <font>
      <b/>
      <sz val="7"/>
      <name val="Arial Cyr"/>
      <charset val="204"/>
    </font>
    <font>
      <b/>
      <sz val="9"/>
      <name val="Arial Cyr"/>
      <charset val="204"/>
    </font>
    <font>
      <b/>
      <sz val="10"/>
      <name val="Arial"/>
      <family val="2"/>
      <charset val="204"/>
    </font>
    <font>
      <sz val="9"/>
      <name val="Arial Cyr"/>
      <charset val="204"/>
    </font>
    <font>
      <sz val="10"/>
      <color indexed="8"/>
      <name val="Times New Roman"/>
      <family val="1"/>
      <charset val="204"/>
    </font>
    <font>
      <sz val="9"/>
      <name val="Arial"/>
      <family val="2"/>
      <charset val="204"/>
    </font>
    <font>
      <sz val="9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name val="Arial Cyr"/>
      <charset val="204"/>
    </font>
    <font>
      <i/>
      <sz val="9"/>
      <name val="Arial Cyr"/>
      <charset val="204"/>
    </font>
    <font>
      <i/>
      <sz val="8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8"/>
      <name val="Arial"/>
      <family val="2"/>
      <charset val="204"/>
    </font>
    <font>
      <b/>
      <i/>
      <sz val="9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72">
    <xf numFmtId="0" fontId="0" fillId="0" borderId="0" xfId="0"/>
    <xf numFmtId="0" fontId="4" fillId="0" borderId="9" xfId="2" applyFont="1" applyBorder="1" applyAlignment="1">
      <alignment horizontal="center" vertical="center" wrapText="1"/>
    </xf>
    <xf numFmtId="0" fontId="4" fillId="3" borderId="17" xfId="2" applyFont="1" applyFill="1" applyBorder="1" applyAlignment="1">
      <alignment horizontal="center"/>
    </xf>
    <xf numFmtId="0" fontId="7" fillId="3" borderId="18" xfId="2" applyFont="1" applyFill="1" applyBorder="1" applyAlignment="1">
      <alignment wrapText="1"/>
    </xf>
    <xf numFmtId="164" fontId="6" fillId="3" borderId="20" xfId="1" applyNumberFormat="1" applyFont="1" applyFill="1" applyBorder="1"/>
    <xf numFmtId="164" fontId="6" fillId="3" borderId="21" xfId="1" applyNumberFormat="1" applyFont="1" applyFill="1" applyBorder="1"/>
    <xf numFmtId="164" fontId="6" fillId="3" borderId="17" xfId="1" applyNumberFormat="1" applyFont="1" applyFill="1" applyBorder="1"/>
    <xf numFmtId="164" fontId="6" fillId="3" borderId="18" xfId="1" applyNumberFormat="1" applyFont="1" applyFill="1" applyBorder="1"/>
    <xf numFmtId="10" fontId="6" fillId="3" borderId="20" xfId="1" applyNumberFormat="1" applyFont="1" applyFill="1" applyBorder="1" applyAlignment="1">
      <alignment horizontal="center"/>
    </xf>
    <xf numFmtId="49" fontId="8" fillId="0" borderId="17" xfId="2" applyNumberFormat="1" applyFont="1" applyBorder="1" applyAlignment="1">
      <alignment horizontal="left"/>
    </xf>
    <xf numFmtId="0" fontId="9" fillId="0" borderId="18" xfId="2" applyFont="1" applyBorder="1" applyAlignment="1">
      <alignment horizontal="left" vertical="top" wrapText="1"/>
    </xf>
    <xf numFmtId="164" fontId="10" fillId="0" borderId="20" xfId="1" applyNumberFormat="1" applyFont="1" applyBorder="1" applyAlignment="1">
      <alignment horizontal="center" vertical="center"/>
    </xf>
    <xf numFmtId="164" fontId="8" fillId="0" borderId="21" xfId="1" applyNumberFormat="1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 wrapText="1"/>
    </xf>
    <xf numFmtId="0" fontId="11" fillId="0" borderId="18" xfId="2" applyFont="1" applyBorder="1" applyAlignment="1">
      <alignment horizontal="center" vertical="center" wrapText="1"/>
    </xf>
    <xf numFmtId="164" fontId="10" fillId="0" borderId="18" xfId="1" applyNumberFormat="1" applyFont="1" applyBorder="1" applyAlignment="1">
      <alignment horizontal="center" vertical="center"/>
    </xf>
    <xf numFmtId="10" fontId="10" fillId="0" borderId="18" xfId="1" applyNumberFormat="1" applyFont="1" applyBorder="1" applyAlignment="1">
      <alignment horizontal="center" vertical="center"/>
    </xf>
    <xf numFmtId="164" fontId="10" fillId="0" borderId="17" xfId="1" applyNumberFormat="1" applyFont="1" applyFill="1" applyBorder="1" applyAlignment="1">
      <alignment horizontal="center" vertical="center"/>
    </xf>
    <xf numFmtId="10" fontId="10" fillId="0" borderId="22" xfId="1" applyNumberFormat="1" applyFont="1" applyFill="1" applyBorder="1" applyAlignment="1">
      <alignment horizontal="center" vertical="center"/>
    </xf>
    <xf numFmtId="4" fontId="10" fillId="0" borderId="17" xfId="2" applyNumberFormat="1" applyFont="1" applyBorder="1" applyAlignment="1">
      <alignment horizontal="center" vertical="center"/>
    </xf>
    <xf numFmtId="10" fontId="10" fillId="0" borderId="22" xfId="1" applyNumberFormat="1" applyFont="1" applyFill="1" applyBorder="1" applyAlignment="1">
      <alignment horizontal="center"/>
    </xf>
    <xf numFmtId="164" fontId="6" fillId="3" borderId="20" xfId="1" applyNumberFormat="1" applyFont="1" applyFill="1" applyBorder="1" applyAlignment="1">
      <alignment horizontal="center" vertical="center"/>
    </xf>
    <xf numFmtId="164" fontId="10" fillId="0" borderId="20" xfId="1" applyNumberFormat="1" applyFont="1" applyBorder="1" applyAlignment="1">
      <alignment horizontal="center"/>
    </xf>
    <xf numFmtId="164" fontId="10" fillId="0" borderId="21" xfId="1" applyNumberFormat="1" applyFont="1" applyBorder="1" applyAlignment="1">
      <alignment horizontal="center"/>
    </xf>
    <xf numFmtId="164" fontId="10" fillId="0" borderId="17" xfId="1" applyNumberFormat="1" applyFont="1" applyBorder="1" applyAlignment="1">
      <alignment horizontal="center"/>
    </xf>
    <xf numFmtId="164" fontId="10" fillId="0" borderId="18" xfId="1" applyNumberFormat="1" applyFont="1" applyBorder="1" applyAlignment="1">
      <alignment horizontal="center"/>
    </xf>
    <xf numFmtId="10" fontId="10" fillId="0" borderId="18" xfId="1" applyNumberFormat="1" applyFont="1" applyFill="1" applyBorder="1" applyAlignment="1">
      <alignment horizontal="center"/>
    </xf>
    <xf numFmtId="49" fontId="8" fillId="0" borderId="16" xfId="2" applyNumberFormat="1" applyFont="1" applyFill="1" applyBorder="1" applyAlignment="1">
      <alignment horizontal="left"/>
    </xf>
    <xf numFmtId="164" fontId="10" fillId="0" borderId="17" xfId="1" applyNumberFormat="1" applyFont="1" applyFill="1" applyBorder="1" applyAlignment="1">
      <alignment horizontal="center"/>
    </xf>
    <xf numFmtId="164" fontId="10" fillId="0" borderId="18" xfId="1" applyNumberFormat="1" applyFont="1" applyFill="1" applyBorder="1" applyAlignment="1">
      <alignment horizontal="center"/>
    </xf>
    <xf numFmtId="164" fontId="8" fillId="0" borderId="17" xfId="1" applyNumberFormat="1" applyFont="1" applyBorder="1"/>
    <xf numFmtId="164" fontId="8" fillId="0" borderId="18" xfId="1" applyNumberFormat="1" applyFont="1" applyBorder="1"/>
    <xf numFmtId="164" fontId="8" fillId="0" borderId="21" xfId="1" applyNumberFormat="1" applyFont="1" applyBorder="1"/>
    <xf numFmtId="0" fontId="12" fillId="0" borderId="18" xfId="2" applyFont="1" applyFill="1" applyBorder="1" applyAlignment="1">
      <alignment horizontal="left" wrapText="1" indent="1"/>
    </xf>
    <xf numFmtId="164" fontId="13" fillId="0" borderId="21" xfId="1" applyNumberFormat="1" applyFont="1" applyBorder="1"/>
    <xf numFmtId="164" fontId="14" fillId="0" borderId="17" xfId="1" applyNumberFormat="1" applyFont="1" applyBorder="1"/>
    <xf numFmtId="164" fontId="14" fillId="0" borderId="18" xfId="1" applyNumberFormat="1" applyFont="1" applyBorder="1" applyAlignment="1">
      <alignment horizontal="left"/>
    </xf>
    <xf numFmtId="164" fontId="15" fillId="0" borderId="20" xfId="1" applyNumberFormat="1" applyFont="1" applyBorder="1" applyAlignment="1">
      <alignment horizontal="center"/>
    </xf>
    <xf numFmtId="164" fontId="16" fillId="0" borderId="18" xfId="1" applyNumberFormat="1" applyFont="1" applyFill="1" applyBorder="1" applyAlignment="1">
      <alignment horizontal="center" vertical="center"/>
    </xf>
    <xf numFmtId="164" fontId="17" fillId="3" borderId="20" xfId="1" applyNumberFormat="1" applyFont="1" applyFill="1" applyBorder="1"/>
    <xf numFmtId="164" fontId="17" fillId="3" borderId="21" xfId="1" applyNumberFormat="1" applyFont="1" applyFill="1" applyBorder="1"/>
    <xf numFmtId="164" fontId="17" fillId="3" borderId="17" xfId="1" applyNumberFormat="1" applyFont="1" applyFill="1" applyBorder="1"/>
    <xf numFmtId="164" fontId="17" fillId="3" borderId="18" xfId="1" applyNumberFormat="1" applyFont="1" applyFill="1" applyBorder="1"/>
    <xf numFmtId="10" fontId="17" fillId="3" borderId="20" xfId="1" applyNumberFormat="1" applyFont="1" applyFill="1" applyBorder="1" applyAlignment="1">
      <alignment horizontal="center"/>
    </xf>
    <xf numFmtId="164" fontId="8" fillId="0" borderId="17" xfId="1" applyNumberFormat="1" applyFont="1" applyFill="1" applyBorder="1"/>
    <xf numFmtId="0" fontId="11" fillId="0" borderId="18" xfId="2" applyFont="1" applyFill="1" applyBorder="1" applyAlignment="1">
      <alignment horizontal="left" vertical="top" wrapText="1"/>
    </xf>
    <xf numFmtId="164" fontId="10" fillId="0" borderId="18" xfId="1" applyNumberFormat="1" applyFont="1" applyFill="1" applyBorder="1"/>
    <xf numFmtId="164" fontId="8" fillId="0" borderId="18" xfId="1" applyNumberFormat="1" applyFont="1" applyFill="1" applyBorder="1"/>
    <xf numFmtId="164" fontId="14" fillId="0" borderId="21" xfId="1" applyNumberFormat="1" applyFont="1" applyFill="1" applyBorder="1"/>
    <xf numFmtId="0" fontId="18" fillId="0" borderId="17" xfId="2" applyFont="1" applyFill="1" applyBorder="1" applyAlignment="1">
      <alignment horizontal="left" wrapText="1"/>
    </xf>
    <xf numFmtId="0" fontId="18" fillId="0" borderId="18" xfId="2" applyFont="1" applyFill="1" applyBorder="1" applyAlignment="1">
      <alignment horizontal="left" wrapText="1"/>
    </xf>
    <xf numFmtId="4" fontId="16" fillId="0" borderId="17" xfId="2" applyNumberFormat="1" applyFont="1" applyFill="1" applyBorder="1"/>
    <xf numFmtId="164" fontId="16" fillId="0" borderId="18" xfId="1" applyNumberFormat="1" applyFont="1" applyFill="1" applyBorder="1"/>
    <xf numFmtId="9" fontId="10" fillId="0" borderId="18" xfId="1" applyNumberFormat="1" applyFont="1" applyFill="1" applyBorder="1" applyAlignment="1">
      <alignment horizontal="center"/>
    </xf>
    <xf numFmtId="0" fontId="7" fillId="3" borderId="17" xfId="2" applyFont="1" applyFill="1" applyBorder="1" applyAlignment="1">
      <alignment wrapText="1"/>
    </xf>
    <xf numFmtId="0" fontId="17" fillId="3" borderId="21" xfId="2" applyFont="1" applyFill="1" applyBorder="1" applyAlignment="1">
      <alignment wrapText="1"/>
    </xf>
    <xf numFmtId="0" fontId="17" fillId="3" borderId="17" xfId="2" applyFont="1" applyFill="1" applyBorder="1" applyAlignment="1">
      <alignment wrapText="1"/>
    </xf>
    <xf numFmtId="0" fontId="17" fillId="3" borderId="18" xfId="2" applyFont="1" applyFill="1" applyBorder="1" applyAlignment="1">
      <alignment wrapText="1"/>
    </xf>
    <xf numFmtId="165" fontId="17" fillId="3" borderId="18" xfId="2" applyNumberFormat="1" applyFont="1" applyFill="1" applyBorder="1" applyAlignment="1">
      <alignment horizontal="center" wrapText="1"/>
    </xf>
    <xf numFmtId="10" fontId="17" fillId="3" borderId="20" xfId="2" applyNumberFormat="1" applyFont="1" applyFill="1" applyBorder="1" applyAlignment="1">
      <alignment horizontal="center" wrapText="1"/>
    </xf>
    <xf numFmtId="164" fontId="17" fillId="3" borderId="18" xfId="1" applyNumberFormat="1" applyFont="1" applyFill="1" applyBorder="1" applyAlignment="1">
      <alignment horizontal="center"/>
    </xf>
    <xf numFmtId="165" fontId="17" fillId="3" borderId="17" xfId="2" applyNumberFormat="1" applyFont="1" applyFill="1" applyBorder="1" applyAlignment="1">
      <alignment wrapText="1"/>
    </xf>
    <xf numFmtId="0" fontId="19" fillId="0" borderId="17" xfId="2" applyFont="1" applyFill="1" applyBorder="1" applyAlignment="1">
      <alignment wrapText="1"/>
    </xf>
    <xf numFmtId="164" fontId="20" fillId="0" borderId="20" xfId="1" applyNumberFormat="1" applyFont="1" applyFill="1" applyBorder="1"/>
    <xf numFmtId="0" fontId="20" fillId="0" borderId="21" xfId="2" applyFont="1" applyFill="1" applyBorder="1" applyAlignment="1">
      <alignment wrapText="1"/>
    </xf>
    <xf numFmtId="0" fontId="20" fillId="0" borderId="17" xfId="2" applyFont="1" applyFill="1" applyBorder="1" applyAlignment="1">
      <alignment wrapText="1"/>
    </xf>
    <xf numFmtId="0" fontId="20" fillId="0" borderId="18" xfId="2" applyFont="1" applyFill="1" applyBorder="1" applyAlignment="1">
      <alignment wrapText="1"/>
    </xf>
    <xf numFmtId="164" fontId="20" fillId="0" borderId="17" xfId="1" applyNumberFormat="1" applyFont="1" applyFill="1" applyBorder="1"/>
    <xf numFmtId="165" fontId="20" fillId="0" borderId="18" xfId="2" applyNumberFormat="1" applyFont="1" applyFill="1" applyBorder="1" applyAlignment="1">
      <alignment horizontal="center" wrapText="1"/>
    </xf>
    <xf numFmtId="0" fontId="20" fillId="0" borderId="20" xfId="2" applyFont="1" applyFill="1" applyBorder="1" applyAlignment="1">
      <alignment wrapText="1"/>
    </xf>
    <xf numFmtId="164" fontId="20" fillId="0" borderId="18" xfId="1" applyNumberFormat="1" applyFont="1" applyFill="1" applyBorder="1"/>
    <xf numFmtId="10" fontId="20" fillId="0" borderId="20" xfId="1" applyNumberFormat="1" applyFont="1" applyFill="1" applyBorder="1" applyAlignment="1">
      <alignment horizontal="center"/>
    </xf>
    <xf numFmtId="165" fontId="20" fillId="0" borderId="17" xfId="2" applyNumberFormat="1" applyFont="1" applyFill="1" applyBorder="1" applyAlignment="1">
      <alignment wrapText="1"/>
    </xf>
    <xf numFmtId="9" fontId="10" fillId="0" borderId="22" xfId="1" applyNumberFormat="1" applyFont="1" applyFill="1" applyBorder="1"/>
    <xf numFmtId="0" fontId="9" fillId="0" borderId="17" xfId="2" applyFont="1" applyBorder="1" applyAlignment="1">
      <alignment horizontal="left" vertical="top" wrapText="1"/>
    </xf>
    <xf numFmtId="4" fontId="10" fillId="0" borderId="20" xfId="2" applyNumberFormat="1" applyFont="1" applyBorder="1"/>
    <xf numFmtId="4" fontId="10" fillId="0" borderId="21" xfId="2" applyNumberFormat="1" applyFont="1" applyBorder="1"/>
    <xf numFmtId="4" fontId="10" fillId="0" borderId="17" xfId="2" applyNumberFormat="1" applyFont="1" applyBorder="1"/>
    <xf numFmtId="4" fontId="10" fillId="0" borderId="18" xfId="2" applyNumberFormat="1" applyFont="1" applyBorder="1"/>
    <xf numFmtId="10" fontId="10" fillId="0" borderId="18" xfId="2" applyNumberFormat="1" applyFont="1" applyBorder="1" applyAlignment="1">
      <alignment horizontal="center"/>
    </xf>
    <xf numFmtId="10" fontId="10" fillId="0" borderId="20" xfId="2" applyNumberFormat="1" applyFont="1" applyBorder="1" applyAlignment="1">
      <alignment horizontal="center"/>
    </xf>
    <xf numFmtId="0" fontId="3" fillId="0" borderId="23" xfId="2" applyBorder="1"/>
    <xf numFmtId="0" fontId="9" fillId="0" borderId="24" xfId="2" applyFont="1" applyBorder="1" applyAlignment="1">
      <alignment horizontal="left" vertical="top" wrapText="1"/>
    </xf>
    <xf numFmtId="0" fontId="8" fillId="0" borderId="25" xfId="2" applyFont="1" applyBorder="1"/>
    <xf numFmtId="0" fontId="8" fillId="0" borderId="26" xfId="2" applyFont="1" applyBorder="1"/>
    <xf numFmtId="0" fontId="8" fillId="0" borderId="23" xfId="2" applyFont="1" applyBorder="1"/>
    <xf numFmtId="0" fontId="8" fillId="0" borderId="24" xfId="2" applyFont="1" applyBorder="1"/>
    <xf numFmtId="4" fontId="10" fillId="0" borderId="24" xfId="2" applyNumberFormat="1" applyFont="1" applyBorder="1"/>
    <xf numFmtId="4" fontId="10" fillId="0" borderId="25" xfId="2" applyNumberFormat="1" applyFont="1" applyBorder="1"/>
    <xf numFmtId="4" fontId="10" fillId="0" borderId="23" xfId="2" applyNumberFormat="1" applyFont="1" applyBorder="1"/>
    <xf numFmtId="4" fontId="10" fillId="0" borderId="27" xfId="2" applyNumberFormat="1" applyFont="1" applyBorder="1"/>
    <xf numFmtId="0" fontId="3" fillId="0" borderId="0" xfId="2"/>
    <xf numFmtId="0" fontId="21" fillId="0" borderId="0" xfId="2" applyFont="1"/>
    <xf numFmtId="4" fontId="4" fillId="0" borderId="0" xfId="2" applyNumberFormat="1" applyFont="1"/>
    <xf numFmtId="14" fontId="25" fillId="4" borderId="0" xfId="0" applyNumberFormat="1" applyFont="1" applyFill="1" applyBorder="1" applyAlignment="1"/>
    <xf numFmtId="0" fontId="25" fillId="4" borderId="0" xfId="0" applyFont="1" applyFill="1" applyBorder="1" applyAlignment="1"/>
    <xf numFmtId="0" fontId="0" fillId="0" borderId="9" xfId="0" applyBorder="1" applyAlignment="1"/>
    <xf numFmtId="0" fontId="27" fillId="0" borderId="0" xfId="0" applyFont="1" applyBorder="1" applyAlignment="1"/>
    <xf numFmtId="0" fontId="25" fillId="0" borderId="0" xfId="0" applyFont="1" applyFill="1" applyBorder="1" applyAlignment="1"/>
    <xf numFmtId="0" fontId="0" fillId="0" borderId="9" xfId="0" applyBorder="1" applyAlignment="1">
      <alignment horizontal="left" vertical="center"/>
    </xf>
    <xf numFmtId="0" fontId="31" fillId="0" borderId="0" xfId="0" applyFont="1" applyAlignment="1">
      <alignment horizontal="center"/>
    </xf>
    <xf numFmtId="0" fontId="33" fillId="0" borderId="0" xfId="0" applyFont="1" applyBorder="1" applyAlignment="1"/>
    <xf numFmtId="4" fontId="22" fillId="0" borderId="0" xfId="2" applyNumberFormat="1" applyFont="1" applyFill="1" applyBorder="1" applyAlignment="1">
      <alignment horizontal="right"/>
    </xf>
    <xf numFmtId="0" fontId="25" fillId="0" borderId="0" xfId="0" applyFont="1" applyBorder="1" applyAlignment="1"/>
    <xf numFmtId="4" fontId="22" fillId="0" borderId="0" xfId="2" applyNumberFormat="1" applyFont="1" applyBorder="1" applyAlignment="1">
      <alignment horizontal="right"/>
    </xf>
    <xf numFmtId="0" fontId="27" fillId="0" borderId="0" xfId="0" applyNumberFormat="1" applyFont="1" applyBorder="1" applyAlignment="1" applyProtection="1">
      <protection locked="0"/>
    </xf>
    <xf numFmtId="0" fontId="4" fillId="0" borderId="6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2" borderId="31" xfId="2" applyFont="1" applyFill="1" applyBorder="1" applyAlignment="1">
      <alignment horizontal="center" vertical="center" wrapText="1"/>
    </xf>
    <xf numFmtId="0" fontId="5" fillId="2" borderId="32" xfId="2" applyFont="1" applyFill="1" applyBorder="1" applyAlignment="1">
      <alignment horizontal="center" vertical="center" wrapText="1"/>
    </xf>
    <xf numFmtId="3" fontId="6" fillId="2" borderId="13" xfId="2" applyNumberFormat="1" applyFont="1" applyFill="1" applyBorder="1" applyAlignment="1">
      <alignment horizontal="center" vertical="center" wrapText="1"/>
    </xf>
    <xf numFmtId="3" fontId="6" fillId="2" borderId="33" xfId="2" applyNumberFormat="1" applyFont="1" applyFill="1" applyBorder="1" applyAlignment="1">
      <alignment horizontal="center" vertical="center" wrapText="1"/>
    </xf>
    <xf numFmtId="3" fontId="6" fillId="2" borderId="32" xfId="2" applyNumberFormat="1" applyFont="1" applyFill="1" applyBorder="1" applyAlignment="1">
      <alignment horizontal="center" vertical="center" wrapText="1"/>
    </xf>
    <xf numFmtId="3" fontId="6" fillId="2" borderId="34" xfId="2" applyNumberFormat="1" applyFont="1" applyFill="1" applyBorder="1" applyAlignment="1">
      <alignment horizontal="center" vertical="center" wrapText="1"/>
    </xf>
    <xf numFmtId="0" fontId="22" fillId="3" borderId="17" xfId="2" applyFont="1" applyFill="1" applyBorder="1" applyAlignment="1">
      <alignment horizontal="center" vertical="center" wrapText="1"/>
    </xf>
    <xf numFmtId="0" fontId="22" fillId="3" borderId="18" xfId="2" applyFont="1" applyFill="1" applyBorder="1" applyAlignment="1">
      <alignment vertical="center" wrapText="1"/>
    </xf>
    <xf numFmtId="3" fontId="8" fillId="3" borderId="18" xfId="2" applyNumberFormat="1" applyFont="1" applyFill="1" applyBorder="1" applyAlignment="1">
      <alignment horizontal="center" vertical="center" wrapText="1"/>
    </xf>
    <xf numFmtId="3" fontId="8" fillId="3" borderId="22" xfId="2" applyNumberFormat="1" applyFont="1" applyFill="1" applyBorder="1" applyAlignment="1">
      <alignment horizontal="center" vertical="center" wrapText="1"/>
    </xf>
    <xf numFmtId="10" fontId="8" fillId="3" borderId="18" xfId="2" applyNumberFormat="1" applyFont="1" applyFill="1" applyBorder="1" applyAlignment="1">
      <alignment horizontal="center" vertical="center" wrapText="1"/>
    </xf>
    <xf numFmtId="10" fontId="8" fillId="3" borderId="35" xfId="2" applyNumberFormat="1" applyFont="1" applyFill="1" applyBorder="1" applyAlignment="1">
      <alignment horizontal="center" vertical="center" wrapText="1"/>
    </xf>
    <xf numFmtId="0" fontId="22" fillId="0" borderId="17" xfId="2" applyFont="1" applyBorder="1" applyAlignment="1">
      <alignment horizontal="center" vertical="center" wrapText="1"/>
    </xf>
    <xf numFmtId="0" fontId="22" fillId="0" borderId="18" xfId="2" applyFont="1" applyBorder="1" applyAlignment="1">
      <alignment vertical="center" wrapText="1"/>
    </xf>
    <xf numFmtId="3" fontId="8" fillId="0" borderId="18" xfId="2" applyNumberFormat="1" applyFont="1" applyBorder="1" applyAlignment="1">
      <alignment horizontal="center" vertical="center" wrapText="1"/>
    </xf>
    <xf numFmtId="3" fontId="8" fillId="0" borderId="22" xfId="2" applyNumberFormat="1" applyFont="1" applyBorder="1" applyAlignment="1">
      <alignment horizontal="center" vertical="center" wrapText="1"/>
    </xf>
    <xf numFmtId="10" fontId="8" fillId="0" borderId="18" xfId="2" applyNumberFormat="1" applyFont="1" applyBorder="1" applyAlignment="1">
      <alignment horizontal="center" vertical="center" wrapText="1"/>
    </xf>
    <xf numFmtId="10" fontId="8" fillId="0" borderId="35" xfId="2" applyNumberFormat="1" applyFont="1" applyBorder="1" applyAlignment="1">
      <alignment horizontal="center" vertical="center" wrapText="1"/>
    </xf>
    <xf numFmtId="3" fontId="8" fillId="0" borderId="13" xfId="2" applyNumberFormat="1" applyFont="1" applyFill="1" applyBorder="1" applyAlignment="1">
      <alignment horizontal="center" vertical="center" wrapText="1"/>
    </xf>
    <xf numFmtId="0" fontId="22" fillId="0" borderId="12" xfId="2" applyFont="1" applyBorder="1" applyAlignment="1">
      <alignment horizontal="center" vertical="center" wrapText="1"/>
    </xf>
    <xf numFmtId="0" fontId="22" fillId="0" borderId="13" xfId="2" applyFont="1" applyBorder="1" applyAlignment="1">
      <alignment vertical="center" wrapText="1"/>
    </xf>
    <xf numFmtId="3" fontId="8" fillId="0" borderId="13" xfId="2" applyNumberFormat="1" applyFont="1" applyBorder="1" applyAlignment="1">
      <alignment horizontal="center" vertical="center" wrapText="1"/>
    </xf>
    <xf numFmtId="3" fontId="8" fillId="0" borderId="33" xfId="2" applyNumberFormat="1" applyFont="1" applyBorder="1" applyAlignment="1">
      <alignment horizontal="center" vertical="center" wrapText="1"/>
    </xf>
    <xf numFmtId="10" fontId="8" fillId="0" borderId="24" xfId="2" applyNumberFormat="1" applyFont="1" applyBorder="1" applyAlignment="1">
      <alignment horizontal="center" vertical="center" wrapText="1"/>
    </xf>
    <xf numFmtId="3" fontId="8" fillId="0" borderId="24" xfId="2" applyNumberFormat="1" applyFont="1" applyBorder="1" applyAlignment="1">
      <alignment horizontal="center" vertical="center" wrapText="1"/>
    </xf>
    <xf numFmtId="0" fontId="5" fillId="2" borderId="31" xfId="2" applyFont="1" applyFill="1" applyBorder="1" applyAlignment="1">
      <alignment horizontal="center" vertical="center" wrapText="1"/>
    </xf>
    <xf numFmtId="0" fontId="5" fillId="2" borderId="36" xfId="2" applyFont="1" applyFill="1" applyBorder="1" applyAlignment="1">
      <alignment horizontal="center" vertical="center" wrapText="1"/>
    </xf>
    <xf numFmtId="3" fontId="6" fillId="2" borderId="36" xfId="2" applyNumberFormat="1" applyFont="1" applyFill="1" applyBorder="1" applyAlignment="1">
      <alignment horizontal="center" vertical="center" wrapText="1"/>
    </xf>
    <xf numFmtId="3" fontId="6" fillId="2" borderId="37" xfId="2" applyNumberFormat="1" applyFont="1" applyFill="1" applyBorder="1" applyAlignment="1">
      <alignment horizontal="center" vertical="center" wrapText="1"/>
    </xf>
    <xf numFmtId="10" fontId="6" fillId="2" borderId="36" xfId="2" applyNumberFormat="1" applyFont="1" applyFill="1" applyBorder="1" applyAlignment="1">
      <alignment horizontal="center" vertical="center" wrapText="1"/>
    </xf>
    <xf numFmtId="3" fontId="8" fillId="3" borderId="35" xfId="2" applyNumberFormat="1" applyFont="1" applyFill="1" applyBorder="1" applyAlignment="1">
      <alignment horizontal="center" vertical="center" wrapText="1"/>
    </xf>
    <xf numFmtId="0" fontId="22" fillId="0" borderId="17" xfId="2" applyFont="1" applyFill="1" applyBorder="1" applyAlignment="1">
      <alignment horizontal="center" vertical="center" wrapText="1"/>
    </xf>
    <xf numFmtId="0" fontId="13" fillId="0" borderId="18" xfId="2" applyFont="1" applyFill="1" applyBorder="1" applyAlignment="1">
      <alignment horizontal="left" vertical="center" wrapText="1"/>
    </xf>
    <xf numFmtId="3" fontId="8" fillId="0" borderId="18" xfId="2" applyNumberFormat="1" applyFont="1" applyFill="1" applyBorder="1" applyAlignment="1">
      <alignment horizontal="center" vertical="center" wrapText="1"/>
    </xf>
    <xf numFmtId="3" fontId="8" fillId="0" borderId="22" xfId="2" applyNumberFormat="1" applyFont="1" applyFill="1" applyBorder="1" applyAlignment="1">
      <alignment horizontal="center" vertical="center" wrapText="1"/>
    </xf>
    <xf numFmtId="10" fontId="8" fillId="0" borderId="18" xfId="2" applyNumberFormat="1" applyFont="1" applyFill="1" applyBorder="1" applyAlignment="1">
      <alignment horizontal="center" vertical="center" wrapText="1"/>
    </xf>
    <xf numFmtId="10" fontId="8" fillId="0" borderId="35" xfId="2" applyNumberFormat="1" applyFont="1" applyFill="1" applyBorder="1" applyAlignment="1">
      <alignment horizontal="center" vertical="center" wrapText="1"/>
    </xf>
    <xf numFmtId="0" fontId="22" fillId="0" borderId="18" xfId="2" applyFont="1" applyFill="1" applyBorder="1" applyAlignment="1">
      <alignment vertical="center" wrapText="1"/>
    </xf>
    <xf numFmtId="3" fontId="8" fillId="0" borderId="35" xfId="2" applyNumberFormat="1" applyFont="1" applyFill="1" applyBorder="1" applyAlignment="1">
      <alignment horizontal="center" vertical="center" wrapText="1"/>
    </xf>
    <xf numFmtId="0" fontId="22" fillId="0" borderId="23" xfId="2" applyFont="1" applyBorder="1" applyAlignment="1">
      <alignment horizontal="center" vertical="center" wrapText="1"/>
    </xf>
    <xf numFmtId="0" fontId="22" fillId="0" borderId="38" xfId="2" applyFont="1" applyBorder="1" applyAlignment="1">
      <alignment vertical="center" wrapText="1"/>
    </xf>
    <xf numFmtId="3" fontId="8" fillId="0" borderId="38" xfId="2" applyNumberFormat="1" applyFont="1" applyFill="1" applyBorder="1" applyAlignment="1">
      <alignment vertical="center" wrapText="1"/>
    </xf>
    <xf numFmtId="3" fontId="8" fillId="0" borderId="38" xfId="2" applyNumberFormat="1" applyFont="1" applyBorder="1" applyAlignment="1">
      <alignment vertical="center" wrapText="1"/>
    </xf>
    <xf numFmtId="3" fontId="8" fillId="0" borderId="38" xfId="2" applyNumberFormat="1" applyFont="1" applyBorder="1" applyAlignment="1">
      <alignment horizontal="center" vertical="center" wrapText="1"/>
    </xf>
    <xf numFmtId="3" fontId="8" fillId="0" borderId="38" xfId="2" applyNumberFormat="1" applyFont="1" applyFill="1" applyBorder="1" applyAlignment="1">
      <alignment horizontal="center" vertical="center" wrapText="1"/>
    </xf>
    <xf numFmtId="3" fontId="8" fillId="0" borderId="39" xfId="2" applyNumberFormat="1" applyFont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vertical="center" wrapText="1"/>
    </xf>
    <xf numFmtId="164" fontId="6" fillId="5" borderId="40" xfId="1" applyNumberFormat="1" applyFont="1" applyFill="1" applyBorder="1" applyAlignment="1">
      <alignment horizontal="center" vertical="center"/>
    </xf>
    <xf numFmtId="164" fontId="8" fillId="5" borderId="0" xfId="1" applyNumberFormat="1" applyFont="1" applyFill="1" applyBorder="1" applyAlignment="1">
      <alignment horizontal="center" vertical="center"/>
    </xf>
    <xf numFmtId="3" fontId="8" fillId="0" borderId="13" xfId="2" applyNumberFormat="1" applyFont="1" applyBorder="1" applyAlignment="1">
      <alignment vertical="center" wrapText="1"/>
    </xf>
    <xf numFmtId="3" fontId="8" fillId="0" borderId="41" xfId="2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right" vertical="center" wrapText="1"/>
    </xf>
    <xf numFmtId="164" fontId="36" fillId="0" borderId="40" xfId="1" applyNumberFormat="1" applyFont="1" applyFill="1" applyBorder="1" applyAlignment="1">
      <alignment horizontal="center" vertical="center"/>
    </xf>
    <xf numFmtId="164" fontId="14" fillId="0" borderId="0" xfId="1" applyNumberFormat="1" applyFont="1" applyFill="1" applyBorder="1" applyAlignment="1">
      <alignment horizontal="center" vertical="center"/>
    </xf>
    <xf numFmtId="3" fontId="8" fillId="0" borderId="18" xfId="2" applyNumberFormat="1" applyFont="1" applyBorder="1" applyAlignment="1">
      <alignment vertical="center" wrapText="1"/>
    </xf>
    <xf numFmtId="3" fontId="8" fillId="0" borderId="35" xfId="2" applyNumberFormat="1" applyFont="1" applyBorder="1" applyAlignment="1">
      <alignment horizontal="center" vertical="center" wrapText="1"/>
    </xf>
    <xf numFmtId="164" fontId="36" fillId="0" borderId="42" xfId="1" applyNumberFormat="1" applyFont="1" applyFill="1" applyBorder="1" applyAlignment="1">
      <alignment horizontal="center" vertical="center"/>
    </xf>
    <xf numFmtId="0" fontId="22" fillId="0" borderId="43" xfId="2" applyFont="1" applyBorder="1" applyAlignment="1">
      <alignment horizontal="center" vertical="center" wrapText="1"/>
    </xf>
    <xf numFmtId="0" fontId="22" fillId="0" borderId="44" xfId="2" applyFont="1" applyBorder="1" applyAlignment="1">
      <alignment vertical="center" wrapText="1"/>
    </xf>
    <xf numFmtId="3" fontId="8" fillId="0" borderId="44" xfId="2" applyNumberFormat="1" applyFont="1" applyBorder="1" applyAlignment="1">
      <alignment vertical="center" wrapText="1"/>
    </xf>
    <xf numFmtId="3" fontId="8" fillId="0" borderId="44" xfId="2" applyNumberFormat="1" applyFont="1" applyBorder="1" applyAlignment="1">
      <alignment horizontal="center" vertical="center" wrapText="1"/>
    </xf>
    <xf numFmtId="0" fontId="22" fillId="0" borderId="24" xfId="2" applyFont="1" applyBorder="1" applyAlignment="1">
      <alignment vertical="center" wrapText="1"/>
    </xf>
    <xf numFmtId="3" fontId="8" fillId="0" borderId="24" xfId="2" applyNumberFormat="1" applyFont="1" applyBorder="1" applyAlignment="1">
      <alignment vertical="center" wrapText="1"/>
    </xf>
    <xf numFmtId="3" fontId="8" fillId="0" borderId="45" xfId="2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17" xfId="2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8" xfId="2" applyFont="1" applyFill="1" applyBorder="1" applyAlignment="1">
      <alignment horizontal="center" vertical="center" wrapText="1"/>
    </xf>
    <xf numFmtId="3" fontId="6" fillId="2" borderId="13" xfId="2" applyNumberFormat="1" applyFont="1" applyFill="1" applyBorder="1" applyAlignment="1">
      <alignment horizontal="center" vertical="center" wrapText="1"/>
    </xf>
    <xf numFmtId="3" fontId="6" fillId="2" borderId="18" xfId="2" applyNumberFormat="1" applyFont="1" applyFill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4" fillId="0" borderId="9" xfId="2" applyFont="1" applyBorder="1" applyAlignment="1">
      <alignment horizontal="center" vertical="center"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10" fontId="6" fillId="2" borderId="15" xfId="2" applyNumberFormat="1" applyFont="1" applyFill="1" applyBorder="1" applyAlignment="1">
      <alignment horizontal="center" vertical="center" wrapText="1"/>
    </xf>
    <xf numFmtId="10" fontId="6" fillId="2" borderId="19" xfId="2" applyNumberFormat="1" applyFont="1" applyFill="1" applyBorder="1" applyAlignment="1">
      <alignment horizontal="center" vertical="center" wrapText="1"/>
    </xf>
    <xf numFmtId="3" fontId="6" fillId="2" borderId="14" xfId="2" applyNumberFormat="1" applyFont="1" applyFill="1" applyBorder="1" applyAlignment="1">
      <alignment horizontal="center" vertical="center" wrapText="1"/>
    </xf>
    <xf numFmtId="3" fontId="6" fillId="2" borderId="12" xfId="2" applyNumberFormat="1" applyFont="1" applyFill="1" applyBorder="1" applyAlignment="1">
      <alignment horizontal="center" vertical="center" wrapText="1"/>
    </xf>
    <xf numFmtId="3" fontId="6" fillId="2" borderId="17" xfId="2" applyNumberFormat="1" applyFont="1" applyFill="1" applyBorder="1" applyAlignment="1">
      <alignment horizontal="center" vertical="center" wrapText="1"/>
    </xf>
    <xf numFmtId="3" fontId="6" fillId="2" borderId="16" xfId="2" applyNumberFormat="1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left" vertical="top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1" fontId="24" fillId="0" borderId="4" xfId="2" applyNumberFormat="1" applyFont="1" applyBorder="1" applyAlignment="1">
      <alignment horizontal="right"/>
    </xf>
    <xf numFmtId="1" fontId="24" fillId="0" borderId="6" xfId="2" applyNumberFormat="1" applyFont="1" applyBorder="1" applyAlignment="1">
      <alignment horizontal="right"/>
    </xf>
    <xf numFmtId="4" fontId="24" fillId="0" borderId="9" xfId="2" applyNumberFormat="1" applyFont="1" applyBorder="1" applyAlignment="1"/>
    <xf numFmtId="0" fontId="3" fillId="0" borderId="28" xfId="2" applyFont="1" applyBorder="1" applyAlignment="1"/>
    <xf numFmtId="0" fontId="22" fillId="0" borderId="9" xfId="2" applyFont="1" applyBorder="1" applyAlignment="1">
      <alignment horizontal="center" vertical="center"/>
    </xf>
    <xf numFmtId="0" fontId="23" fillId="0" borderId="7" xfId="2" applyFont="1" applyBorder="1" applyAlignment="1">
      <alignment horizontal="left" vertical="center"/>
    </xf>
    <xf numFmtId="0" fontId="24" fillId="0" borderId="4" xfId="2" applyFont="1" applyFill="1" applyBorder="1" applyAlignment="1">
      <alignment horizontal="left"/>
    </xf>
    <xf numFmtId="0" fontId="24" fillId="0" borderId="5" xfId="2" applyFont="1" applyFill="1" applyBorder="1" applyAlignment="1">
      <alignment horizontal="left"/>
    </xf>
    <xf numFmtId="0" fontId="24" fillId="0" borderId="6" xfId="2" applyFont="1" applyFill="1" applyBorder="1" applyAlignment="1">
      <alignment horizontal="left"/>
    </xf>
    <xf numFmtId="4" fontId="24" fillId="0" borderId="4" xfId="2" applyNumberFormat="1" applyFont="1" applyBorder="1" applyAlignment="1"/>
    <xf numFmtId="4" fontId="24" fillId="0" borderId="6" xfId="2" applyNumberFormat="1" applyFont="1" applyBorder="1" applyAlignment="1"/>
    <xf numFmtId="4" fontId="24" fillId="0" borderId="4" xfId="2" applyNumberFormat="1" applyFont="1" applyBorder="1" applyAlignment="1">
      <alignment horizontal="right"/>
    </xf>
    <xf numFmtId="4" fontId="24" fillId="0" borderId="6" xfId="2" applyNumberFormat="1" applyFont="1" applyBorder="1" applyAlignment="1">
      <alignment horizontal="right"/>
    </xf>
    <xf numFmtId="0" fontId="24" fillId="0" borderId="9" xfId="2" applyFont="1" applyFill="1" applyBorder="1" applyAlignment="1">
      <alignment horizontal="left"/>
    </xf>
    <xf numFmtId="0" fontId="26" fillId="0" borderId="9" xfId="0" applyFont="1" applyFill="1" applyBorder="1" applyAlignment="1">
      <alignment horizontal="left"/>
    </xf>
    <xf numFmtId="4" fontId="7" fillId="0" borderId="8" xfId="2" applyNumberFormat="1" applyFont="1" applyBorder="1" applyAlignment="1"/>
    <xf numFmtId="0" fontId="2" fillId="0" borderId="0" xfId="0" applyFont="1" applyAlignment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66" fontId="24" fillId="0" borderId="9" xfId="2" applyNumberFormat="1" applyFont="1" applyBorder="1" applyAlignment="1">
      <alignment horizontal="right"/>
    </xf>
    <xf numFmtId="166" fontId="0" fillId="0" borderId="9" xfId="0" applyNumberFormat="1" applyBorder="1" applyAlignment="1">
      <alignment horizontal="right"/>
    </xf>
    <xf numFmtId="4" fontId="7" fillId="0" borderId="9" xfId="2" applyNumberFormat="1" applyFont="1" applyBorder="1" applyAlignment="1"/>
    <xf numFmtId="0" fontId="2" fillId="0" borderId="9" xfId="0" applyFont="1" applyBorder="1" applyAlignment="1"/>
    <xf numFmtId="0" fontId="30" fillId="0" borderId="0" xfId="0" applyFont="1" applyAlignment="1">
      <alignment horizontal="center" vertical="center"/>
    </xf>
    <xf numFmtId="0" fontId="32" fillId="0" borderId="28" xfId="0" applyFont="1" applyBorder="1" applyAlignment="1"/>
    <xf numFmtId="0" fontId="32" fillId="0" borderId="0" xfId="0" applyFont="1" applyBorder="1" applyAlignment="1"/>
    <xf numFmtId="0" fontId="23" fillId="0" borderId="9" xfId="2" applyFont="1" applyBorder="1" applyAlignment="1">
      <alignment horizontal="center" vertical="center"/>
    </xf>
    <xf numFmtId="0" fontId="23" fillId="0" borderId="4" xfId="2" applyFont="1" applyBorder="1" applyAlignment="1">
      <alignment horizontal="center" vertical="center"/>
    </xf>
    <xf numFmtId="0" fontId="22" fillId="4" borderId="1" xfId="2" applyFont="1" applyFill="1" applyBorder="1" applyAlignment="1">
      <alignment horizontal="left"/>
    </xf>
    <xf numFmtId="0" fontId="22" fillId="4" borderId="2" xfId="2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49" fontId="34" fillId="4" borderId="4" xfId="0" applyNumberFormat="1" applyFont="1" applyFill="1" applyBorder="1" applyAlignment="1">
      <alignment horizontal="center"/>
    </xf>
    <xf numFmtId="49" fontId="34" fillId="4" borderId="6" xfId="0" applyNumberFormat="1" applyFont="1" applyFill="1" applyBorder="1" applyAlignment="1">
      <alignment horizontal="center"/>
    </xf>
    <xf numFmtId="4" fontId="22" fillId="4" borderId="4" xfId="2" applyNumberFormat="1" applyFont="1" applyFill="1" applyBorder="1" applyAlignment="1"/>
    <xf numFmtId="4" fontId="22" fillId="4" borderId="5" xfId="2" applyNumberFormat="1" applyFont="1" applyFill="1" applyBorder="1" applyAlignment="1"/>
    <xf numFmtId="0" fontId="0" fillId="0" borderId="6" xfId="0" applyBorder="1" applyAlignment="1"/>
    <xf numFmtId="0" fontId="22" fillId="4" borderId="9" xfId="2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34" fillId="4" borderId="1" xfId="0" applyNumberFormat="1" applyFont="1" applyFill="1" applyBorder="1" applyAlignment="1">
      <alignment horizontal="center"/>
    </xf>
    <xf numFmtId="49" fontId="34" fillId="4" borderId="3" xfId="0" applyNumberFormat="1" applyFont="1" applyFill="1" applyBorder="1" applyAlignment="1">
      <alignment horizontal="center"/>
    </xf>
    <xf numFmtId="0" fontId="23" fillId="3" borderId="29" xfId="2" applyFont="1" applyFill="1" applyBorder="1" applyAlignment="1">
      <alignment horizontal="left" vertical="center"/>
    </xf>
    <xf numFmtId="0" fontId="0" fillId="3" borderId="28" xfId="0" applyFill="1" applyBorder="1" applyAlignment="1">
      <alignment horizontal="left"/>
    </xf>
    <xf numFmtId="0" fontId="0" fillId="3" borderId="30" xfId="0" applyFill="1" applyBorder="1" applyAlignment="1">
      <alignment horizontal="left"/>
    </xf>
    <xf numFmtId="0" fontId="23" fillId="3" borderId="4" xfId="2" applyFont="1" applyFill="1" applyBorder="1" applyAlignment="1">
      <alignment horizontal="center" vertical="center"/>
    </xf>
    <xf numFmtId="0" fontId="23" fillId="3" borderId="6" xfId="2" applyFont="1" applyFill="1" applyBorder="1" applyAlignment="1">
      <alignment horizontal="center" vertical="center"/>
    </xf>
    <xf numFmtId="4" fontId="22" fillId="3" borderId="4" xfId="2" applyNumberFormat="1" applyFont="1" applyFill="1" applyBorder="1" applyAlignment="1"/>
    <xf numFmtId="4" fontId="22" fillId="3" borderId="5" xfId="2" applyNumberFormat="1" applyFont="1" applyFill="1" applyBorder="1" applyAlignment="1"/>
    <xf numFmtId="0" fontId="0" fillId="3" borderId="6" xfId="0" applyFill="1" applyBorder="1" applyAlignment="1"/>
    <xf numFmtId="0" fontId="23" fillId="0" borderId="9" xfId="2" applyFont="1" applyBorder="1" applyAlignment="1">
      <alignment horizontal="center" vertical="center" wrapText="1"/>
    </xf>
    <xf numFmtId="0" fontId="23" fillId="0" borderId="4" xfId="2" applyFont="1" applyBorder="1" applyAlignment="1">
      <alignment horizontal="center" vertical="center" wrapText="1"/>
    </xf>
    <xf numFmtId="0" fontId="22" fillId="0" borderId="9" xfId="2" applyFont="1" applyBorder="1" applyAlignment="1">
      <alignment horizontal="center"/>
    </xf>
    <xf numFmtId="0" fontId="35" fillId="0" borderId="9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" fillId="0" borderId="5" xfId="2" applyFont="1" applyBorder="1" applyAlignment="1">
      <alignment horizontal="center" vertical="center" wrapText="1"/>
    </xf>
    <xf numFmtId="0" fontId="0" fillId="0" borderId="5" xfId="0" applyBorder="1" applyAlignment="1"/>
    <xf numFmtId="0" fontId="4" fillId="0" borderId="6" xfId="2" applyFont="1" applyBorder="1" applyAlignment="1">
      <alignment horizontal="center" vertical="center" wrapText="1"/>
    </xf>
    <xf numFmtId="0" fontId="37" fillId="0" borderId="0" xfId="0" applyFont="1"/>
    <xf numFmtId="0" fontId="38" fillId="0" borderId="0" xfId="2" applyFont="1"/>
    <xf numFmtId="0" fontId="39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14" fontId="38" fillId="0" borderId="0" xfId="2" applyNumberFormat="1" applyFont="1"/>
    <xf numFmtId="0" fontId="41" fillId="0" borderId="0" xfId="2" applyFont="1"/>
    <xf numFmtId="0" fontId="42" fillId="0" borderId="0" xfId="2" applyFont="1"/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7;&#1086;%20&#1057;&#1084;&#1077;&#1090;&#1077;_&#1047;&#1074;&#1086;&#1083;&#1080;&#1085;&#1089;&#1082;&#1072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одная часть"/>
      <sheetName val="Доходная часть"/>
      <sheetName val="аренда офиса"/>
      <sheetName val="аренда авто"/>
      <sheetName val="программное обсл."/>
      <sheetName val="адм-хоз"/>
      <sheetName val="ГСМ"/>
      <sheetName val="Справка к отчету"/>
    </sheetNames>
    <sheetDataSet>
      <sheetData sheetId="0">
        <row r="31">
          <cell r="M31">
            <v>6129153.5279999999</v>
          </cell>
        </row>
        <row r="32">
          <cell r="M32">
            <v>1532288.3820000002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workbookViewId="0">
      <selection activeCell="Q4" sqref="Q4:Q5"/>
    </sheetView>
  </sheetViews>
  <sheetFormatPr defaultRowHeight="15" x14ac:dyDescent="0.25"/>
  <cols>
    <col min="2" max="2" width="26.5703125" customWidth="1"/>
    <col min="3" max="3" width="12.140625" customWidth="1"/>
    <col min="7" max="7" width="12.42578125" bestFit="1" customWidth="1"/>
    <col min="8" max="8" width="11.42578125" bestFit="1" customWidth="1"/>
    <col min="9" max="9" width="11" bestFit="1" customWidth="1"/>
    <col min="10" max="11" width="11.42578125" bestFit="1" customWidth="1"/>
    <col min="12" max="12" width="8.85546875" bestFit="1" customWidth="1"/>
    <col min="13" max="14" width="11.42578125" bestFit="1" customWidth="1"/>
    <col min="15" max="15" width="8.85546875" bestFit="1" customWidth="1"/>
    <col min="16" max="16" width="14.7109375" bestFit="1" customWidth="1"/>
    <col min="17" max="17" width="16.7109375" bestFit="1" customWidth="1"/>
  </cols>
  <sheetData>
    <row r="1" spans="1:17" ht="22.5" customHeight="1" x14ac:dyDescent="0.25">
      <c r="A1" s="174" t="s">
        <v>0</v>
      </c>
      <c r="B1" s="174"/>
      <c r="C1" s="174" t="s">
        <v>1</v>
      </c>
      <c r="D1" s="174" t="s">
        <v>2</v>
      </c>
      <c r="E1" s="177"/>
      <c r="F1" s="178"/>
      <c r="G1" s="179" t="s">
        <v>3</v>
      </c>
      <c r="H1" s="180"/>
      <c r="I1" s="180"/>
      <c r="J1" s="180"/>
      <c r="K1" s="180"/>
      <c r="L1" s="180"/>
      <c r="M1" s="180"/>
      <c r="N1" s="180"/>
      <c r="O1" s="181"/>
      <c r="P1" s="188" t="s">
        <v>4</v>
      </c>
      <c r="Q1" s="188" t="s">
        <v>5</v>
      </c>
    </row>
    <row r="2" spans="1:17" ht="22.5" x14ac:dyDescent="0.25">
      <c r="A2" s="175"/>
      <c r="B2" s="175"/>
      <c r="C2" s="175"/>
      <c r="D2" s="1" t="s">
        <v>6</v>
      </c>
      <c r="E2" s="1" t="s">
        <v>7</v>
      </c>
      <c r="F2" s="1" t="s">
        <v>8</v>
      </c>
      <c r="G2" s="191" t="s">
        <v>6</v>
      </c>
      <c r="H2" s="191"/>
      <c r="I2" s="191"/>
      <c r="J2" s="191" t="s">
        <v>7</v>
      </c>
      <c r="K2" s="191"/>
      <c r="L2" s="191"/>
      <c r="M2" s="191" t="s">
        <v>8</v>
      </c>
      <c r="N2" s="191"/>
      <c r="O2" s="191"/>
      <c r="P2" s="193"/>
      <c r="Q2" s="189"/>
    </row>
    <row r="3" spans="1:17" ht="22.5" x14ac:dyDescent="0.25">
      <c r="A3" s="176"/>
      <c r="B3" s="176"/>
      <c r="C3" s="176"/>
      <c r="D3" s="191" t="s">
        <v>9</v>
      </c>
      <c r="E3" s="192"/>
      <c r="F3" s="192"/>
      <c r="G3" s="1" t="s">
        <v>10</v>
      </c>
      <c r="H3" s="1" t="s">
        <v>11</v>
      </c>
      <c r="I3" s="1" t="s">
        <v>12</v>
      </c>
      <c r="J3" s="1" t="s">
        <v>10</v>
      </c>
      <c r="K3" s="1" t="s">
        <v>11</v>
      </c>
      <c r="L3" s="1" t="s">
        <v>12</v>
      </c>
      <c r="M3" s="1" t="s">
        <v>10</v>
      </c>
      <c r="N3" s="1" t="s">
        <v>11</v>
      </c>
      <c r="O3" s="1" t="s">
        <v>12</v>
      </c>
      <c r="P3" s="194"/>
      <c r="Q3" s="190"/>
    </row>
    <row r="4" spans="1:17" x14ac:dyDescent="0.25">
      <c r="A4" s="182" t="s">
        <v>13</v>
      </c>
      <c r="B4" s="184" t="s">
        <v>14</v>
      </c>
      <c r="C4" s="186">
        <f>C11+C6+C37</f>
        <v>19608799</v>
      </c>
      <c r="D4" s="186">
        <f>D11+D6+D37</f>
        <v>0</v>
      </c>
      <c r="E4" s="186">
        <f>SUM(E11,E6,E37)</f>
        <v>0</v>
      </c>
      <c r="F4" s="197">
        <f>SUM(F11,F6,F37)</f>
        <v>0</v>
      </c>
      <c r="G4" s="198">
        <f>SUM(G11,G6,G37)</f>
        <v>12336994</v>
      </c>
      <c r="H4" s="197">
        <f>SUM(H11,H6,H37)</f>
        <v>11349290.990000002</v>
      </c>
      <c r="I4" s="195">
        <f>H4/G4</f>
        <v>0.9199397349143561</v>
      </c>
      <c r="J4" s="198">
        <f>SUM(J11,J6,J37)</f>
        <v>4873000.5</v>
      </c>
      <c r="K4" s="197">
        <f>SUM(K11,K6,K37)</f>
        <v>4273037.9300000006</v>
      </c>
      <c r="L4" s="195">
        <f>K4/J4</f>
        <v>0.87688025683559867</v>
      </c>
      <c r="M4" s="198">
        <f>SUM(M11,M6,M37)</f>
        <v>2398803.5</v>
      </c>
      <c r="N4" s="197">
        <f>SUM(N11,N6,N37)</f>
        <v>2525518.36</v>
      </c>
      <c r="O4" s="195">
        <f>N4/M4</f>
        <v>1.0528241933947486</v>
      </c>
      <c r="P4" s="200">
        <f>SUM(P6,P11,P37)</f>
        <v>18147847.279999997</v>
      </c>
      <c r="Q4" s="195">
        <f>P4/C4</f>
        <v>0.92549509431964683</v>
      </c>
    </row>
    <row r="5" spans="1:17" x14ac:dyDescent="0.25">
      <c r="A5" s="183"/>
      <c r="B5" s="185"/>
      <c r="C5" s="187"/>
      <c r="D5" s="187"/>
      <c r="E5" s="187"/>
      <c r="F5" s="186"/>
      <c r="G5" s="199"/>
      <c r="H5" s="186"/>
      <c r="I5" s="196"/>
      <c r="J5" s="199"/>
      <c r="K5" s="186"/>
      <c r="L5" s="196"/>
      <c r="M5" s="199"/>
      <c r="N5" s="186"/>
      <c r="O5" s="196"/>
      <c r="P5" s="198"/>
      <c r="Q5" s="196"/>
    </row>
    <row r="6" spans="1:17" ht="26.25" x14ac:dyDescent="0.25">
      <c r="A6" s="2" t="s">
        <v>15</v>
      </c>
      <c r="B6" s="3" t="s">
        <v>16</v>
      </c>
      <c r="C6" s="4">
        <f t="shared" ref="C6:O6" si="0">SUM(C7:C7)</f>
        <v>213670</v>
      </c>
      <c r="D6" s="5">
        <f t="shared" si="0"/>
        <v>0</v>
      </c>
      <c r="E6" s="6">
        <f t="shared" si="0"/>
        <v>0</v>
      </c>
      <c r="F6" s="7">
        <f t="shared" si="0"/>
        <v>0</v>
      </c>
      <c r="G6" s="7">
        <f t="shared" si="0"/>
        <v>100000</v>
      </c>
      <c r="H6" s="7">
        <f t="shared" si="0"/>
        <v>30968.239999999998</v>
      </c>
      <c r="I6" s="8">
        <f>H6/G6</f>
        <v>0.30968239999999997</v>
      </c>
      <c r="J6" s="7">
        <f t="shared" si="0"/>
        <v>83670</v>
      </c>
      <c r="K6" s="7">
        <f t="shared" si="0"/>
        <v>34910</v>
      </c>
      <c r="L6" s="8">
        <f>SUM(L7:L7)</f>
        <v>0.41723437313254452</v>
      </c>
      <c r="M6" s="7">
        <f t="shared" si="0"/>
        <v>30000</v>
      </c>
      <c r="N6" s="7">
        <f t="shared" si="0"/>
        <v>14800</v>
      </c>
      <c r="O6" s="8">
        <f t="shared" si="0"/>
        <v>0.49333333333333335</v>
      </c>
      <c r="P6" s="6">
        <f>P7</f>
        <v>80678.240000000005</v>
      </c>
      <c r="Q6" s="8">
        <f>P6/C6</f>
        <v>0.37758337623438015</v>
      </c>
    </row>
    <row r="7" spans="1:17" ht="38.25" x14ac:dyDescent="0.25">
      <c r="A7" s="9" t="s">
        <v>17</v>
      </c>
      <c r="B7" s="10" t="s">
        <v>18</v>
      </c>
      <c r="C7" s="11">
        <f>SUM(G7,J7,M7)</f>
        <v>213670</v>
      </c>
      <c r="D7" s="12">
        <v>0</v>
      </c>
      <c r="E7" s="13"/>
      <c r="F7" s="14"/>
      <c r="G7" s="15">
        <v>100000</v>
      </c>
      <c r="H7" s="15">
        <f>SUM(H8:H10)</f>
        <v>30968.239999999998</v>
      </c>
      <c r="I7" s="16">
        <f>H7/G7</f>
        <v>0.30968239999999997</v>
      </c>
      <c r="J7" s="15">
        <v>83670</v>
      </c>
      <c r="K7" s="15">
        <f>SUM(K8:K10)</f>
        <v>34910</v>
      </c>
      <c r="L7" s="16">
        <f>K7/J7</f>
        <v>0.41723437313254452</v>
      </c>
      <c r="M7" s="15">
        <v>30000</v>
      </c>
      <c r="N7" s="15">
        <f>SUM(N8:N10)</f>
        <v>14800</v>
      </c>
      <c r="O7" s="16">
        <f>N7/M7</f>
        <v>0.49333333333333335</v>
      </c>
      <c r="P7" s="17">
        <f>SUM(P8:P10)</f>
        <v>80678.240000000005</v>
      </c>
      <c r="Q7" s="18">
        <f>P7/C7</f>
        <v>0.37758337623438015</v>
      </c>
    </row>
    <row r="8" spans="1:17" ht="25.5" x14ac:dyDescent="0.25">
      <c r="A8" s="9" t="s">
        <v>19</v>
      </c>
      <c r="B8" s="10" t="s">
        <v>20</v>
      </c>
      <c r="C8" s="11"/>
      <c r="D8" s="12"/>
      <c r="E8" s="13"/>
      <c r="F8" s="14"/>
      <c r="G8" s="19"/>
      <c r="H8" s="15"/>
      <c r="I8" s="11"/>
      <c r="J8" s="19"/>
      <c r="K8" s="15"/>
      <c r="L8" s="11"/>
      <c r="M8" s="19"/>
      <c r="N8" s="15">
        <v>1800</v>
      </c>
      <c r="O8" s="11"/>
      <c r="P8" s="17">
        <f>SUM(H8,K8,N8)</f>
        <v>1800</v>
      </c>
      <c r="Q8" s="20"/>
    </row>
    <row r="9" spans="1:17" ht="51" x14ac:dyDescent="0.25">
      <c r="A9" s="9" t="s">
        <v>21</v>
      </c>
      <c r="B9" s="10" t="s">
        <v>22</v>
      </c>
      <c r="C9" s="11"/>
      <c r="D9" s="12"/>
      <c r="E9" s="13"/>
      <c r="F9" s="14"/>
      <c r="G9" s="19"/>
      <c r="H9" s="15">
        <v>21500</v>
      </c>
      <c r="I9" s="11"/>
      <c r="J9" s="19"/>
      <c r="K9" s="15">
        <v>31570</v>
      </c>
      <c r="L9" s="11"/>
      <c r="M9" s="19"/>
      <c r="N9" s="15">
        <v>12110</v>
      </c>
      <c r="O9" s="11"/>
      <c r="P9" s="17">
        <f t="shared" ref="P9:P10" si="1">SUM(H9,K9,N9)</f>
        <v>65180</v>
      </c>
      <c r="Q9" s="20"/>
    </row>
    <row r="10" spans="1:17" ht="51" x14ac:dyDescent="0.25">
      <c r="A10" s="9" t="s">
        <v>23</v>
      </c>
      <c r="B10" s="10" t="s">
        <v>24</v>
      </c>
      <c r="C10" s="11"/>
      <c r="D10" s="12"/>
      <c r="E10" s="13"/>
      <c r="F10" s="14"/>
      <c r="G10" s="19"/>
      <c r="H10" s="15">
        <f>6968.24+2500</f>
        <v>9468.24</v>
      </c>
      <c r="I10" s="11"/>
      <c r="J10" s="19"/>
      <c r="K10" s="15">
        <v>3340</v>
      </c>
      <c r="L10" s="11"/>
      <c r="M10" s="19"/>
      <c r="N10" s="15">
        <v>890</v>
      </c>
      <c r="O10" s="11"/>
      <c r="P10" s="17">
        <f t="shared" si="1"/>
        <v>13698.24</v>
      </c>
      <c r="Q10" s="20"/>
    </row>
    <row r="11" spans="1:17" x14ac:dyDescent="0.25">
      <c r="A11" s="2" t="s">
        <v>25</v>
      </c>
      <c r="B11" s="3" t="s">
        <v>26</v>
      </c>
      <c r="C11" s="21">
        <f>C12+C16+C17</f>
        <v>17416329</v>
      </c>
      <c r="D11" s="5">
        <f>SUM(D12,D16:D17)</f>
        <v>0</v>
      </c>
      <c r="E11" s="6">
        <f>SUM(E12,E16:E17)</f>
        <v>0</v>
      </c>
      <c r="F11" s="7">
        <f>SUM(F12,F16:F17)</f>
        <v>0</v>
      </c>
      <c r="G11" s="6">
        <f>SUM(G12,G16:G17)</f>
        <v>10306994</v>
      </c>
      <c r="H11" s="7">
        <f>SUM(H12,H16:H17)</f>
        <v>9707091.620000001</v>
      </c>
      <c r="I11" s="8">
        <f>H11/G11</f>
        <v>0.94179657230808522</v>
      </c>
      <c r="J11" s="6">
        <f>SUM(J12,J16:J17)</f>
        <v>4758330.5</v>
      </c>
      <c r="K11" s="7">
        <f>SUM(K12,K16:K17)</f>
        <v>4210036.9400000004</v>
      </c>
      <c r="L11" s="8">
        <f>K11/J11</f>
        <v>0.8847718627363107</v>
      </c>
      <c r="M11" s="6">
        <f>SUM(M12,M16:M17)</f>
        <v>2351003.5</v>
      </c>
      <c r="N11" s="7">
        <f>SUM(N12,N16:N17)</f>
        <v>2503005.36</v>
      </c>
      <c r="O11" s="8">
        <f>N11/M11</f>
        <v>1.0646540339050963</v>
      </c>
      <c r="P11" s="6">
        <f>SUM(P12,P16:P17)</f>
        <v>16420133.919999998</v>
      </c>
      <c r="Q11" s="8">
        <f t="shared" ref="Q11:Q53" si="2">P11/C11</f>
        <v>0.94280108741629753</v>
      </c>
    </row>
    <row r="12" spans="1:17" x14ac:dyDescent="0.25">
      <c r="A12" s="9" t="s">
        <v>27</v>
      </c>
      <c r="B12" s="10" t="s">
        <v>28</v>
      </c>
      <c r="C12" s="22">
        <f>SUM(C13:C14)</f>
        <v>12063845</v>
      </c>
      <c r="D12" s="23">
        <f>SUM(D13:D14)</f>
        <v>0</v>
      </c>
      <c r="E12" s="24">
        <f>SUM(E13:E14)</f>
        <v>0</v>
      </c>
      <c r="F12" s="25">
        <f>SUM(F13:F14)</f>
        <v>0</v>
      </c>
      <c r="G12" s="24">
        <f>SUM(G13:G15)</f>
        <v>6846260</v>
      </c>
      <c r="H12" s="25">
        <f>SUM(H13:H15)</f>
        <v>6806123.2199999997</v>
      </c>
      <c r="I12" s="26">
        <f t="shared" ref="I12:I13" si="3">H12/G12</f>
        <v>0.99413741517266363</v>
      </c>
      <c r="J12" s="24">
        <f>SUM(J13:J14)-1</f>
        <v>3540380.5</v>
      </c>
      <c r="K12" s="25">
        <f>SUM(K13:K15)</f>
        <v>3159573.64</v>
      </c>
      <c r="L12" s="26">
        <f>K12/J12</f>
        <v>0.89243900196603165</v>
      </c>
      <c r="M12" s="24">
        <f>SUM(M13:M14)</f>
        <v>1677203.5</v>
      </c>
      <c r="N12" s="25">
        <f>SUM(N13:N15)</f>
        <v>1992272.3599999999</v>
      </c>
      <c r="O12" s="26">
        <f t="shared" ref="O12:O42" si="4">N12/M12</f>
        <v>1.187853686210409</v>
      </c>
      <c r="P12" s="24">
        <f>SUM(P13:P15)</f>
        <v>11957969.219999999</v>
      </c>
      <c r="Q12" s="20">
        <f t="shared" si="2"/>
        <v>0.99122371184311464</v>
      </c>
    </row>
    <row r="13" spans="1:17" ht="25.5" x14ac:dyDescent="0.25">
      <c r="A13" s="27" t="s">
        <v>29</v>
      </c>
      <c r="B13" s="10" t="s">
        <v>30</v>
      </c>
      <c r="C13" s="22">
        <f>SUM(G13,J13,M13)</f>
        <v>12063845</v>
      </c>
      <c r="D13" s="23"/>
      <c r="E13" s="28"/>
      <c r="F13" s="29"/>
      <c r="G13" s="24">
        <v>6846260</v>
      </c>
      <c r="H13" s="29">
        <f>4877122.01</f>
        <v>4877122.01</v>
      </c>
      <c r="I13" s="26">
        <f t="shared" si="3"/>
        <v>0.71237756234790961</v>
      </c>
      <c r="J13" s="24">
        <f>3540381.5</f>
        <v>3540381.5</v>
      </c>
      <c r="K13" s="29">
        <f>2025292.56-4000+211601.71</f>
        <v>2232894.27</v>
      </c>
      <c r="L13" s="26">
        <f t="shared" ref="L13:L36" si="5">K13/J13</f>
        <v>0.6306931244556554</v>
      </c>
      <c r="M13" s="24">
        <v>1677203.5</v>
      </c>
      <c r="N13" s="29">
        <f>979062.29+152020.8+328905.87</f>
        <v>1459988.96</v>
      </c>
      <c r="O13" s="26">
        <f t="shared" si="4"/>
        <v>0.87049005084952424</v>
      </c>
      <c r="P13" s="24">
        <f>SUM(H13,K13,N13)</f>
        <v>8570005.2399999984</v>
      </c>
      <c r="Q13" s="20">
        <f t="shared" si="2"/>
        <v>0.71038754559595207</v>
      </c>
    </row>
    <row r="14" spans="1:17" x14ac:dyDescent="0.25">
      <c r="A14" s="27" t="s">
        <v>31</v>
      </c>
      <c r="B14" s="10" t="s">
        <v>32</v>
      </c>
      <c r="C14" s="22">
        <f t="shared" ref="C14:C52" si="6">SUM(G14,J14,M14)</f>
        <v>0</v>
      </c>
      <c r="D14" s="23"/>
      <c r="E14" s="28"/>
      <c r="F14" s="29"/>
      <c r="G14" s="28"/>
      <c r="H14" s="29">
        <v>1291662.6000000001</v>
      </c>
      <c r="I14" s="26"/>
      <c r="J14" s="28"/>
      <c r="K14" s="29">
        <f>557717.56+54697.66</f>
        <v>612415.22000000009</v>
      </c>
      <c r="L14" s="26"/>
      <c r="M14" s="28"/>
      <c r="N14" s="29">
        <f>239962.78+45910.27+71749.47</f>
        <v>357622.52</v>
      </c>
      <c r="O14" s="26"/>
      <c r="P14" s="24">
        <f t="shared" ref="P14:P16" si="7">SUM(H14,K14,N14)</f>
        <v>2261700.3400000003</v>
      </c>
      <c r="Q14" s="20"/>
    </row>
    <row r="15" spans="1:17" ht="38.25" x14ac:dyDescent="0.25">
      <c r="A15" s="27" t="s">
        <v>33</v>
      </c>
      <c r="B15" s="10" t="s">
        <v>34</v>
      </c>
      <c r="C15" s="22"/>
      <c r="D15" s="23"/>
      <c r="E15" s="28"/>
      <c r="F15" s="29"/>
      <c r="G15" s="28"/>
      <c r="H15" s="29">
        <f>494123.88+143214.73</f>
        <v>637338.61</v>
      </c>
      <c r="I15" s="26"/>
      <c r="J15" s="28"/>
      <c r="K15" s="29">
        <f>408997.71-94733.56</f>
        <v>314264.15000000002</v>
      </c>
      <c r="L15" s="26"/>
      <c r="M15" s="28"/>
      <c r="N15" s="29">
        <f>134148.14+40512.74</f>
        <v>174660.88</v>
      </c>
      <c r="O15" s="26"/>
      <c r="P15" s="24">
        <f t="shared" si="7"/>
        <v>1126263.6400000001</v>
      </c>
      <c r="Q15" s="20"/>
    </row>
    <row r="16" spans="1:17" ht="25.5" x14ac:dyDescent="0.25">
      <c r="A16" s="9" t="s">
        <v>35</v>
      </c>
      <c r="B16" s="10" t="s">
        <v>36</v>
      </c>
      <c r="C16" s="22">
        <f t="shared" si="6"/>
        <v>2107980</v>
      </c>
      <c r="D16" s="23"/>
      <c r="E16" s="28"/>
      <c r="F16" s="29"/>
      <c r="G16" s="28">
        <v>1328700</v>
      </c>
      <c r="H16" s="29">
        <v>1309478.69</v>
      </c>
      <c r="I16" s="26">
        <f>H16/G16</f>
        <v>0.98553374727176934</v>
      </c>
      <c r="J16" s="28">
        <v>539280</v>
      </c>
      <c r="K16" s="29">
        <v>539280</v>
      </c>
      <c r="L16" s="26">
        <f t="shared" si="5"/>
        <v>1</v>
      </c>
      <c r="M16" s="28">
        <v>240000</v>
      </c>
      <c r="N16" s="29">
        <f>135000+50000+50000</f>
        <v>235000</v>
      </c>
      <c r="O16" s="26">
        <f t="shared" si="4"/>
        <v>0.97916666666666663</v>
      </c>
      <c r="P16" s="24">
        <f t="shared" si="7"/>
        <v>2083758.69</v>
      </c>
      <c r="Q16" s="20">
        <f t="shared" si="2"/>
        <v>0.98850970597443999</v>
      </c>
    </row>
    <row r="17" spans="1:17" ht="63.75" x14ac:dyDescent="0.25">
      <c r="A17" s="9" t="s">
        <v>37</v>
      </c>
      <c r="B17" s="10" t="s">
        <v>38</v>
      </c>
      <c r="C17" s="22">
        <f>SUM(C18:C23,C31:C36)</f>
        <v>3244504</v>
      </c>
      <c r="D17" s="23">
        <f t="shared" ref="D17:J17" si="8">SUM(D18:D23,D31:D36)</f>
        <v>0</v>
      </c>
      <c r="E17" s="24">
        <f t="shared" si="8"/>
        <v>0</v>
      </c>
      <c r="F17" s="25">
        <f t="shared" si="8"/>
        <v>0</v>
      </c>
      <c r="G17" s="28">
        <f t="shared" si="8"/>
        <v>2132034</v>
      </c>
      <c r="H17" s="29">
        <f>SUM(H18:H23,H31:H36)</f>
        <v>1591489.7100000002</v>
      </c>
      <c r="I17" s="26">
        <f t="shared" ref="I17:I52" si="9">H17/G17</f>
        <v>0.74646544567300532</v>
      </c>
      <c r="J17" s="28">
        <f t="shared" si="8"/>
        <v>678670</v>
      </c>
      <c r="K17" s="29">
        <f>SUM(K18:K23,K31:K36)</f>
        <v>511183.30000000005</v>
      </c>
      <c r="L17" s="26">
        <f t="shared" si="5"/>
        <v>0.75321334374585591</v>
      </c>
      <c r="M17" s="28">
        <f>SUM(M18:M23,M31:M36)</f>
        <v>433800</v>
      </c>
      <c r="N17" s="29">
        <f>SUM(N18:N23,N31:N36)</f>
        <v>275733</v>
      </c>
      <c r="O17" s="26">
        <f t="shared" si="4"/>
        <v>0.63562240663900416</v>
      </c>
      <c r="P17" s="24">
        <f>SUM(P18:P23,P31:P36)</f>
        <v>2378406.0099999993</v>
      </c>
      <c r="Q17" s="20">
        <f t="shared" si="2"/>
        <v>0.73305688943517999</v>
      </c>
    </row>
    <row r="18" spans="1:17" x14ac:dyDescent="0.25">
      <c r="A18" s="9" t="s">
        <v>39</v>
      </c>
      <c r="B18" s="10" t="s">
        <v>40</v>
      </c>
      <c r="C18" s="22">
        <f>SUM(G18,J18,M18)</f>
        <v>770000</v>
      </c>
      <c r="D18" s="23"/>
      <c r="E18" s="28"/>
      <c r="F18" s="25"/>
      <c r="G18" s="28">
        <v>420000</v>
      </c>
      <c r="H18" s="29">
        <v>375187.13</v>
      </c>
      <c r="I18" s="26">
        <f t="shared" si="9"/>
        <v>0.89330269047619049</v>
      </c>
      <c r="J18" s="28">
        <v>230000</v>
      </c>
      <c r="K18" s="29">
        <v>224193.52</v>
      </c>
      <c r="L18" s="26">
        <f t="shared" si="5"/>
        <v>0.9747544347826087</v>
      </c>
      <c r="M18" s="28">
        <v>120000</v>
      </c>
      <c r="N18" s="29">
        <f>100000+10000+7500</f>
        <v>117500</v>
      </c>
      <c r="O18" s="26">
        <f t="shared" si="4"/>
        <v>0.97916666666666663</v>
      </c>
      <c r="P18" s="24">
        <f>SUM(H18,K18,N18)</f>
        <v>716880.65</v>
      </c>
      <c r="Q18" s="20">
        <f t="shared" si="2"/>
        <v>0.93101383116883119</v>
      </c>
    </row>
    <row r="19" spans="1:17" x14ac:dyDescent="0.25">
      <c r="A19" s="9" t="s">
        <v>41</v>
      </c>
      <c r="B19" s="10" t="s">
        <v>42</v>
      </c>
      <c r="C19" s="22">
        <f t="shared" si="6"/>
        <v>600000</v>
      </c>
      <c r="D19" s="23"/>
      <c r="E19" s="30"/>
      <c r="F19" s="31"/>
      <c r="G19" s="30">
        <v>360000</v>
      </c>
      <c r="H19" s="31">
        <v>214875.15</v>
      </c>
      <c r="I19" s="26">
        <f t="shared" si="9"/>
        <v>0.59687541666666666</v>
      </c>
      <c r="J19" s="30">
        <v>120000</v>
      </c>
      <c r="K19" s="31">
        <v>72945.38</v>
      </c>
      <c r="L19" s="26">
        <f t="shared" si="5"/>
        <v>0.60787816666666672</v>
      </c>
      <c r="M19" s="30">
        <v>120000</v>
      </c>
      <c r="N19" s="31">
        <f>36423.68+9758.7+7402.45</f>
        <v>53584.83</v>
      </c>
      <c r="O19" s="26">
        <f t="shared" si="4"/>
        <v>0.44654025000000003</v>
      </c>
      <c r="P19" s="24">
        <f t="shared" ref="P19:P22" si="10">SUM(H19,K19,N19)</f>
        <v>341405.36000000004</v>
      </c>
      <c r="Q19" s="20">
        <f t="shared" si="2"/>
        <v>0.56900893333333336</v>
      </c>
    </row>
    <row r="20" spans="1:17" x14ac:dyDescent="0.25">
      <c r="A20" s="9" t="s">
        <v>43</v>
      </c>
      <c r="B20" s="10" t="s">
        <v>44</v>
      </c>
      <c r="C20" s="22">
        <f t="shared" si="6"/>
        <v>140200</v>
      </c>
      <c r="D20" s="23"/>
      <c r="E20" s="30"/>
      <c r="F20" s="31"/>
      <c r="G20" s="30">
        <v>78100</v>
      </c>
      <c r="H20" s="31">
        <f>78100</f>
        <v>78100</v>
      </c>
      <c r="I20" s="26">
        <f t="shared" si="9"/>
        <v>1</v>
      </c>
      <c r="J20" s="30">
        <v>51600</v>
      </c>
      <c r="K20" s="31">
        <f>51600</f>
        <v>51600</v>
      </c>
      <c r="L20" s="26">
        <f t="shared" si="5"/>
        <v>1</v>
      </c>
      <c r="M20" s="30">
        <v>10500</v>
      </c>
      <c r="N20" s="31"/>
      <c r="O20" s="26">
        <f t="shared" si="4"/>
        <v>0</v>
      </c>
      <c r="P20" s="24">
        <f t="shared" si="10"/>
        <v>129700</v>
      </c>
      <c r="Q20" s="20">
        <f t="shared" si="2"/>
        <v>0.92510699001426533</v>
      </c>
    </row>
    <row r="21" spans="1:17" x14ac:dyDescent="0.25">
      <c r="A21" s="9" t="s">
        <v>45</v>
      </c>
      <c r="B21" s="10" t="s">
        <v>46</v>
      </c>
      <c r="C21" s="22">
        <f t="shared" si="6"/>
        <v>227700</v>
      </c>
      <c r="D21" s="23"/>
      <c r="E21" s="30"/>
      <c r="F21" s="31"/>
      <c r="G21" s="30">
        <v>108000</v>
      </c>
      <c r="H21" s="31">
        <v>75777.63</v>
      </c>
      <c r="I21" s="26">
        <f t="shared" si="9"/>
        <v>0.70164472222222229</v>
      </c>
      <c r="J21" s="30">
        <v>50400</v>
      </c>
      <c r="K21" s="31">
        <v>45761.18</v>
      </c>
      <c r="L21" s="26">
        <f t="shared" si="5"/>
        <v>0.90795992063492059</v>
      </c>
      <c r="M21" s="30">
        <v>69300</v>
      </c>
      <c r="N21" s="31">
        <f>56447.46+4378.32+4806.08</f>
        <v>65631.86</v>
      </c>
      <c r="O21" s="26">
        <f t="shared" si="4"/>
        <v>0.94706868686868684</v>
      </c>
      <c r="P21" s="24">
        <f t="shared" si="10"/>
        <v>187170.66999999998</v>
      </c>
      <c r="Q21" s="20">
        <f t="shared" si="2"/>
        <v>0.82200557751427306</v>
      </c>
    </row>
    <row r="22" spans="1:17" x14ac:dyDescent="0.25">
      <c r="A22" s="9" t="s">
        <v>47</v>
      </c>
      <c r="B22" s="10" t="s">
        <v>48</v>
      </c>
      <c r="C22" s="22">
        <f t="shared" si="6"/>
        <v>304610</v>
      </c>
      <c r="D22" s="23"/>
      <c r="E22" s="30"/>
      <c r="F22" s="31"/>
      <c r="G22" s="30">
        <v>304610</v>
      </c>
      <c r="H22" s="31">
        <v>151650</v>
      </c>
      <c r="I22" s="26">
        <f t="shared" si="9"/>
        <v>0.49784970946456125</v>
      </c>
      <c r="J22" s="30">
        <v>0</v>
      </c>
      <c r="K22" s="31"/>
      <c r="L22" s="26"/>
      <c r="M22" s="30">
        <v>0</v>
      </c>
      <c r="N22" s="31"/>
      <c r="O22" s="26"/>
      <c r="P22" s="24">
        <f t="shared" si="10"/>
        <v>151650</v>
      </c>
      <c r="Q22" s="20">
        <f t="shared" si="2"/>
        <v>0.49784970946456125</v>
      </c>
    </row>
    <row r="23" spans="1:17" x14ac:dyDescent="0.25">
      <c r="A23" s="9" t="s">
        <v>49</v>
      </c>
      <c r="B23" s="10" t="s">
        <v>50</v>
      </c>
      <c r="C23" s="22">
        <f>314794</f>
        <v>314794</v>
      </c>
      <c r="D23" s="32">
        <f t="shared" ref="D23:F23" si="11">SUM(D24:D25)</f>
        <v>0</v>
      </c>
      <c r="E23" s="30">
        <f t="shared" si="11"/>
        <v>0</v>
      </c>
      <c r="F23" s="31">
        <f t="shared" si="11"/>
        <v>0</v>
      </c>
      <c r="G23" s="30">
        <f>SUM(G24:G26,G30)</f>
        <v>303324</v>
      </c>
      <c r="H23" s="30">
        <f>SUM(H24:H26,H30)</f>
        <v>264109</v>
      </c>
      <c r="I23" s="26">
        <f t="shared" si="9"/>
        <v>0.87071580224446465</v>
      </c>
      <c r="J23" s="30">
        <f>SUM(J24:J30)</f>
        <v>11470</v>
      </c>
      <c r="K23" s="31">
        <f>SUM(K24:K26,K30)</f>
        <v>11190</v>
      </c>
      <c r="L23" s="26">
        <f t="shared" si="5"/>
        <v>0.97558849171752393</v>
      </c>
      <c r="M23" s="30">
        <f>SUM(M24:M30)</f>
        <v>0</v>
      </c>
      <c r="N23" s="31">
        <f>SUM(N24:N30)</f>
        <v>0</v>
      </c>
      <c r="O23" s="26"/>
      <c r="P23" s="24">
        <f>SUM(P24:P26,P30)</f>
        <v>275299</v>
      </c>
      <c r="Q23" s="20">
        <f t="shared" si="2"/>
        <v>0.87453699879921476</v>
      </c>
    </row>
    <row r="24" spans="1:17" ht="23.25" x14ac:dyDescent="0.25">
      <c r="A24" s="9"/>
      <c r="B24" s="33" t="s">
        <v>51</v>
      </c>
      <c r="C24" s="22"/>
      <c r="D24" s="34"/>
      <c r="E24" s="30"/>
      <c r="F24" s="31"/>
      <c r="G24" s="35">
        <v>71440</v>
      </c>
      <c r="H24" s="36">
        <f>61000+10440</f>
        <v>71440</v>
      </c>
      <c r="I24" s="26"/>
      <c r="J24" s="35">
        <v>0</v>
      </c>
      <c r="K24" s="36"/>
      <c r="L24" s="26"/>
      <c r="M24" s="35">
        <v>0</v>
      </c>
      <c r="N24" s="36"/>
      <c r="O24" s="26"/>
      <c r="P24" s="24">
        <f>SUM(H24,K24,N24)</f>
        <v>71440</v>
      </c>
      <c r="Q24" s="20"/>
    </row>
    <row r="25" spans="1:17" x14ac:dyDescent="0.25">
      <c r="A25" s="9"/>
      <c r="B25" s="33" t="s">
        <v>52</v>
      </c>
      <c r="C25" s="37"/>
      <c r="D25" s="34"/>
      <c r="E25" s="30"/>
      <c r="F25" s="31"/>
      <c r="G25" s="35">
        <v>0</v>
      </c>
      <c r="H25" s="36"/>
      <c r="I25" s="26"/>
      <c r="J25" s="35">
        <v>0</v>
      </c>
      <c r="K25" s="36"/>
      <c r="L25" s="26"/>
      <c r="M25" s="35">
        <v>0</v>
      </c>
      <c r="N25" s="36"/>
      <c r="O25" s="26"/>
      <c r="P25" s="24">
        <f t="shared" ref="P25:P36" si="12">SUM(H25,K25,N25)</f>
        <v>0</v>
      </c>
      <c r="Q25" s="20"/>
    </row>
    <row r="26" spans="1:17" x14ac:dyDescent="0.25">
      <c r="A26" s="9"/>
      <c r="B26" s="33" t="s">
        <v>53</v>
      </c>
      <c r="C26" s="37"/>
      <c r="D26" s="34"/>
      <c r="E26" s="30"/>
      <c r="F26" s="31"/>
      <c r="G26" s="35">
        <v>142572</v>
      </c>
      <c r="H26" s="36">
        <v>142429</v>
      </c>
      <c r="I26" s="26"/>
      <c r="J26" s="35">
        <v>0</v>
      </c>
      <c r="K26" s="36"/>
      <c r="L26" s="26"/>
      <c r="M26" s="35">
        <v>0</v>
      </c>
      <c r="N26" s="36"/>
      <c r="O26" s="26"/>
      <c r="P26" s="24">
        <f>SUM(H26,K26,N26)</f>
        <v>142429</v>
      </c>
      <c r="Q26" s="20"/>
    </row>
    <row r="27" spans="1:17" x14ac:dyDescent="0.25">
      <c r="A27" s="9"/>
      <c r="B27" s="33" t="s">
        <v>54</v>
      </c>
      <c r="C27" s="37"/>
      <c r="D27" s="34"/>
      <c r="E27" s="30"/>
      <c r="F27" s="31"/>
      <c r="G27" s="35">
        <v>86000</v>
      </c>
      <c r="H27" s="36">
        <v>36000</v>
      </c>
      <c r="I27" s="26"/>
      <c r="J27" s="35">
        <v>0</v>
      </c>
      <c r="K27" s="36"/>
      <c r="L27" s="26"/>
      <c r="M27" s="35">
        <v>0</v>
      </c>
      <c r="N27" s="36"/>
      <c r="O27" s="26"/>
      <c r="P27" s="24">
        <f>SUM(H27,K27,N27)</f>
        <v>36000</v>
      </c>
      <c r="Q27" s="20"/>
    </row>
    <row r="28" spans="1:17" x14ac:dyDescent="0.25">
      <c r="A28" s="9"/>
      <c r="B28" s="33" t="s">
        <v>55</v>
      </c>
      <c r="C28" s="37"/>
      <c r="D28" s="34"/>
      <c r="E28" s="30"/>
      <c r="F28" s="31"/>
      <c r="G28" s="35">
        <v>10290</v>
      </c>
      <c r="H28" s="36">
        <v>10490</v>
      </c>
      <c r="I28" s="26"/>
      <c r="J28" s="35">
        <v>8290</v>
      </c>
      <c r="K28" s="36">
        <v>8490</v>
      </c>
      <c r="L28" s="26">
        <f t="shared" si="5"/>
        <v>1.0241254523522316</v>
      </c>
      <c r="M28" s="35">
        <v>0</v>
      </c>
      <c r="N28" s="36"/>
      <c r="O28" s="26"/>
      <c r="P28" s="24">
        <f>SUM(H28,K28,N28)</f>
        <v>18980</v>
      </c>
      <c r="Q28" s="20"/>
    </row>
    <row r="29" spans="1:17" ht="23.25" x14ac:dyDescent="0.25">
      <c r="A29" s="9"/>
      <c r="B29" s="33" t="s">
        <v>56</v>
      </c>
      <c r="C29" s="37"/>
      <c r="D29" s="34"/>
      <c r="E29" s="30"/>
      <c r="F29" s="31"/>
      <c r="G29" s="35">
        <v>3122</v>
      </c>
      <c r="H29" s="36"/>
      <c r="I29" s="26"/>
      <c r="J29" s="35">
        <v>0</v>
      </c>
      <c r="K29" s="36"/>
      <c r="L29" s="26"/>
      <c r="M29" s="35">
        <v>0</v>
      </c>
      <c r="N29" s="36"/>
      <c r="O29" s="26"/>
      <c r="P29" s="24">
        <f t="shared" si="12"/>
        <v>0</v>
      </c>
      <c r="Q29" s="20"/>
    </row>
    <row r="30" spans="1:17" ht="23.25" x14ac:dyDescent="0.25">
      <c r="A30" s="9"/>
      <c r="B30" s="33" t="s">
        <v>57</v>
      </c>
      <c r="C30" s="37"/>
      <c r="D30" s="34"/>
      <c r="E30" s="30"/>
      <c r="F30" s="31"/>
      <c r="G30" s="35">
        <f>13500+G27+G28+G29-23600</f>
        <v>89312</v>
      </c>
      <c r="H30" s="36">
        <f>3750+H27+H28</f>
        <v>50240</v>
      </c>
      <c r="I30" s="26"/>
      <c r="J30" s="35">
        <v>3180</v>
      </c>
      <c r="K30" s="36">
        <f>2700+K28</f>
        <v>11190</v>
      </c>
      <c r="L30" s="26">
        <f t="shared" si="5"/>
        <v>3.5188679245283021</v>
      </c>
      <c r="M30" s="35">
        <v>0</v>
      </c>
      <c r="N30" s="36"/>
      <c r="O30" s="26"/>
      <c r="P30" s="24">
        <f>SUM(H30,K30,N30)</f>
        <v>61430</v>
      </c>
      <c r="Q30" s="20"/>
    </row>
    <row r="31" spans="1:17" x14ac:dyDescent="0.25">
      <c r="A31" s="9" t="s">
        <v>58</v>
      </c>
      <c r="B31" s="10" t="s">
        <v>59</v>
      </c>
      <c r="C31" s="22">
        <f t="shared" si="6"/>
        <v>122000</v>
      </c>
      <c r="D31" s="32"/>
      <c r="E31" s="28"/>
      <c r="F31" s="29"/>
      <c r="G31" s="28">
        <v>60000</v>
      </c>
      <c r="H31" s="29">
        <v>46219</v>
      </c>
      <c r="I31" s="26">
        <f t="shared" si="9"/>
        <v>0.77031666666666665</v>
      </c>
      <c r="J31" s="28">
        <v>48000</v>
      </c>
      <c r="K31" s="29">
        <v>34799.33</v>
      </c>
      <c r="L31" s="26">
        <f t="shared" si="5"/>
        <v>0.72498604166666669</v>
      </c>
      <c r="M31" s="28">
        <v>14000</v>
      </c>
      <c r="N31" s="29">
        <f>6539.83</f>
        <v>6539.83</v>
      </c>
      <c r="O31" s="26">
        <f t="shared" si="4"/>
        <v>0.46713071428571429</v>
      </c>
      <c r="P31" s="24">
        <f t="shared" si="12"/>
        <v>87558.16</v>
      </c>
      <c r="Q31" s="20">
        <f t="shared" si="2"/>
        <v>0.71768983606557379</v>
      </c>
    </row>
    <row r="32" spans="1:17" ht="38.25" x14ac:dyDescent="0.25">
      <c r="A32" s="9" t="s">
        <v>60</v>
      </c>
      <c r="B32" s="10" t="s">
        <v>61</v>
      </c>
      <c r="C32" s="22">
        <f t="shared" si="6"/>
        <v>342000</v>
      </c>
      <c r="D32" s="32"/>
      <c r="E32" s="24"/>
      <c r="F32" s="29"/>
      <c r="G32" s="24">
        <v>258000</v>
      </c>
      <c r="H32" s="29">
        <f>197983.7+1640.5</f>
        <v>199624.2</v>
      </c>
      <c r="I32" s="26">
        <f t="shared" si="9"/>
        <v>0.77373720930232559</v>
      </c>
      <c r="J32" s="24">
        <f>164000-110000</f>
        <v>54000</v>
      </c>
      <c r="K32" s="29">
        <f>750.1</f>
        <v>750.1</v>
      </c>
      <c r="L32" s="26">
        <f t="shared" si="5"/>
        <v>1.3890740740740742E-2</v>
      </c>
      <c r="M32" s="24">
        <v>30000</v>
      </c>
      <c r="N32" s="29">
        <f>1718</f>
        <v>1718</v>
      </c>
      <c r="O32" s="26">
        <f t="shared" si="4"/>
        <v>5.7266666666666667E-2</v>
      </c>
      <c r="P32" s="24">
        <f>SUM(H32,K32,N32)</f>
        <v>202092.30000000002</v>
      </c>
      <c r="Q32" s="20">
        <f>P32/C32</f>
        <v>0.59091315789473686</v>
      </c>
    </row>
    <row r="33" spans="1:17" x14ac:dyDescent="0.25">
      <c r="A33" s="9" t="s">
        <v>62</v>
      </c>
      <c r="B33" s="10" t="s">
        <v>63</v>
      </c>
      <c r="C33" s="22">
        <f t="shared" si="6"/>
        <v>255000</v>
      </c>
      <c r="D33" s="32"/>
      <c r="E33" s="24"/>
      <c r="F33" s="29"/>
      <c r="G33" s="24">
        <v>144000</v>
      </c>
      <c r="H33" s="38">
        <f>60963.21+57689.45</f>
        <v>118652.66</v>
      </c>
      <c r="I33" s="26">
        <f t="shared" si="9"/>
        <v>0.82397680555555552</v>
      </c>
      <c r="J33" s="24">
        <v>66000</v>
      </c>
      <c r="K33" s="38">
        <f>20195.83+21845.31+200</f>
        <v>42241.14</v>
      </c>
      <c r="L33" s="26">
        <f t="shared" si="5"/>
        <v>0.64001727272727271</v>
      </c>
      <c r="M33" s="24">
        <v>45000</v>
      </c>
      <c r="N33" s="38">
        <f>4889+13736.74+923.5+850+850+1154.5</f>
        <v>22403.739999999998</v>
      </c>
      <c r="O33" s="26">
        <f t="shared" si="4"/>
        <v>0.49786088888888885</v>
      </c>
      <c r="P33" s="24">
        <f t="shared" si="12"/>
        <v>183297.53999999998</v>
      </c>
      <c r="Q33" s="20">
        <f t="shared" si="2"/>
        <v>0.71881388235294108</v>
      </c>
    </row>
    <row r="34" spans="1:17" x14ac:dyDescent="0.25">
      <c r="A34" s="9" t="s">
        <v>64</v>
      </c>
      <c r="B34" s="10" t="s">
        <v>65</v>
      </c>
      <c r="C34" s="22">
        <f t="shared" si="6"/>
        <v>141200</v>
      </c>
      <c r="D34" s="32"/>
      <c r="E34" s="24"/>
      <c r="F34" s="29"/>
      <c r="G34" s="24">
        <f>50400+23600</f>
        <v>74000</v>
      </c>
      <c r="H34" s="38">
        <v>54227.11</v>
      </c>
      <c r="I34" s="26">
        <f t="shared" si="9"/>
        <v>0.73279878378378382</v>
      </c>
      <c r="J34" s="24">
        <v>43200</v>
      </c>
      <c r="K34" s="38">
        <v>27548.65</v>
      </c>
      <c r="L34" s="26">
        <f t="shared" si="5"/>
        <v>0.63770023148148147</v>
      </c>
      <c r="M34" s="24">
        <v>24000</v>
      </c>
      <c r="N34" s="38">
        <f>4449+2913.24+967.5</f>
        <v>8329.74</v>
      </c>
      <c r="O34" s="26">
        <f t="shared" si="4"/>
        <v>0.34707250000000001</v>
      </c>
      <c r="P34" s="24">
        <f t="shared" si="12"/>
        <v>90105.500000000015</v>
      </c>
      <c r="Q34" s="20">
        <f t="shared" si="2"/>
        <v>0.63814093484419276</v>
      </c>
    </row>
    <row r="35" spans="1:17" x14ac:dyDescent="0.25">
      <c r="A35" s="9" t="s">
        <v>66</v>
      </c>
      <c r="B35" s="10" t="s">
        <v>67</v>
      </c>
      <c r="C35" s="22">
        <f t="shared" si="6"/>
        <v>19000</v>
      </c>
      <c r="D35" s="32"/>
      <c r="E35" s="24"/>
      <c r="F35" s="29"/>
      <c r="G35" s="24">
        <v>17000</v>
      </c>
      <c r="H35" s="38">
        <v>11367.26</v>
      </c>
      <c r="I35" s="26">
        <f t="shared" si="9"/>
        <v>0.66866235294117649</v>
      </c>
      <c r="J35" s="24">
        <v>2000</v>
      </c>
      <c r="K35" s="38"/>
      <c r="L35" s="26">
        <f t="shared" si="5"/>
        <v>0</v>
      </c>
      <c r="M35" s="24"/>
      <c r="N35" s="38"/>
      <c r="O35" s="26"/>
      <c r="P35" s="24">
        <f t="shared" si="12"/>
        <v>11367.26</v>
      </c>
      <c r="Q35" s="20">
        <f t="shared" si="2"/>
        <v>0.59827684210526322</v>
      </c>
    </row>
    <row r="36" spans="1:17" x14ac:dyDescent="0.25">
      <c r="A36" s="9" t="s">
        <v>68</v>
      </c>
      <c r="B36" s="10" t="s">
        <v>69</v>
      </c>
      <c r="C36" s="22">
        <f t="shared" si="6"/>
        <v>8000</v>
      </c>
      <c r="D36" s="32"/>
      <c r="E36" s="24"/>
      <c r="F36" s="29"/>
      <c r="G36" s="24">
        <v>5000</v>
      </c>
      <c r="H36" s="29">
        <f>216.1+1484.47</f>
        <v>1700.57</v>
      </c>
      <c r="I36" s="26">
        <f t="shared" si="9"/>
        <v>0.34011399999999997</v>
      </c>
      <c r="J36" s="24">
        <v>2000</v>
      </c>
      <c r="K36" s="29">
        <f>154</f>
        <v>154</v>
      </c>
      <c r="L36" s="26">
        <f t="shared" si="5"/>
        <v>7.6999999999999999E-2</v>
      </c>
      <c r="M36" s="24">
        <v>1000</v>
      </c>
      <c r="N36" s="29">
        <f>25</f>
        <v>25</v>
      </c>
      <c r="O36" s="26">
        <f t="shared" si="4"/>
        <v>2.5000000000000001E-2</v>
      </c>
      <c r="P36" s="24">
        <f t="shared" si="12"/>
        <v>1879.57</v>
      </c>
      <c r="Q36" s="20">
        <f t="shared" si="2"/>
        <v>0.23494625</v>
      </c>
    </row>
    <row r="37" spans="1:17" x14ac:dyDescent="0.25">
      <c r="A37" s="2" t="s">
        <v>70</v>
      </c>
      <c r="B37" s="3" t="s">
        <v>71</v>
      </c>
      <c r="C37" s="39">
        <f>SUM(C38:C42,C52)</f>
        <v>1978800</v>
      </c>
      <c r="D37" s="40">
        <f>SUM(D38:D42,D52)</f>
        <v>0</v>
      </c>
      <c r="E37" s="41">
        <f>SUM(E38:E42,E52)</f>
        <v>0</v>
      </c>
      <c r="F37" s="42">
        <f>SUM(F38:F42,F52)</f>
        <v>0</v>
      </c>
      <c r="G37" s="41">
        <f>SUM(G38:G42,G52)</f>
        <v>1930000</v>
      </c>
      <c r="H37" s="42">
        <f>SUM(H38:H42,H52,)</f>
        <v>1611231.13</v>
      </c>
      <c r="I37" s="43">
        <f>H37/G37</f>
        <v>0.83483478238341968</v>
      </c>
      <c r="J37" s="41">
        <f>SUM(J38:J42,J52)</f>
        <v>31000</v>
      </c>
      <c r="K37" s="42">
        <f>SUM(K38:K42,K52,)</f>
        <v>28090.989999999998</v>
      </c>
      <c r="L37" s="43">
        <f>K37/J37</f>
        <v>0.90616096774193544</v>
      </c>
      <c r="M37" s="41">
        <f>SUM(M38:M42,M52)</f>
        <v>17800</v>
      </c>
      <c r="N37" s="42">
        <f>SUM(N38:N42,N52,)</f>
        <v>7713</v>
      </c>
      <c r="O37" s="43">
        <f>N37/M37</f>
        <v>0.43331460674157302</v>
      </c>
      <c r="P37" s="41">
        <f>SUM(H37,K37,N37)</f>
        <v>1647035.1199999999</v>
      </c>
      <c r="Q37" s="43">
        <f t="shared" si="2"/>
        <v>0.8323403678997372</v>
      </c>
    </row>
    <row r="38" spans="1:17" x14ac:dyDescent="0.25">
      <c r="A38" s="9" t="s">
        <v>72</v>
      </c>
      <c r="B38" s="10" t="s">
        <v>73</v>
      </c>
      <c r="C38" s="22">
        <f t="shared" si="6"/>
        <v>100000</v>
      </c>
      <c r="D38" s="32"/>
      <c r="E38" s="30"/>
      <c r="F38" s="31"/>
      <c r="G38" s="30">
        <v>100000</v>
      </c>
      <c r="H38" s="31">
        <v>100000</v>
      </c>
      <c r="I38" s="26">
        <f t="shared" si="9"/>
        <v>1</v>
      </c>
      <c r="J38" s="30">
        <v>0</v>
      </c>
      <c r="K38" s="31">
        <v>0</v>
      </c>
      <c r="L38" s="26"/>
      <c r="M38" s="30">
        <v>0</v>
      </c>
      <c r="N38" s="31">
        <v>0</v>
      </c>
      <c r="O38" s="26"/>
      <c r="P38" s="44">
        <f>SUM(H38,K38,N38)</f>
        <v>100000</v>
      </c>
      <c r="Q38" s="20">
        <f t="shared" si="2"/>
        <v>1</v>
      </c>
    </row>
    <row r="39" spans="1:17" ht="38.25" x14ac:dyDescent="0.25">
      <c r="A39" s="9" t="s">
        <v>74</v>
      </c>
      <c r="B39" s="10" t="s">
        <v>75</v>
      </c>
      <c r="C39" s="22">
        <f t="shared" si="6"/>
        <v>920000</v>
      </c>
      <c r="D39" s="32"/>
      <c r="E39" s="44"/>
      <c r="F39" s="45"/>
      <c r="G39" s="30">
        <v>920000</v>
      </c>
      <c r="H39" s="46">
        <v>892500</v>
      </c>
      <c r="I39" s="26">
        <f>H39/G39</f>
        <v>0.97010869565217395</v>
      </c>
      <c r="J39" s="30">
        <v>0</v>
      </c>
      <c r="K39" s="46">
        <v>0</v>
      </c>
      <c r="L39" s="26"/>
      <c r="M39" s="30">
        <v>0</v>
      </c>
      <c r="N39" s="46">
        <v>0</v>
      </c>
      <c r="O39" s="26"/>
      <c r="P39" s="44">
        <f>SUM(H39,K39,N39)</f>
        <v>892500</v>
      </c>
      <c r="Q39" s="20">
        <f t="shared" si="2"/>
        <v>0.97010869565217395</v>
      </c>
    </row>
    <row r="40" spans="1:17" ht="25.5" x14ac:dyDescent="0.25">
      <c r="A40" s="9" t="s">
        <v>76</v>
      </c>
      <c r="B40" s="10" t="s">
        <v>77</v>
      </c>
      <c r="C40" s="22">
        <f t="shared" si="6"/>
        <v>496000</v>
      </c>
      <c r="D40" s="32"/>
      <c r="E40" s="30"/>
      <c r="F40" s="31"/>
      <c r="G40" s="30">
        <v>480000</v>
      </c>
      <c r="H40" s="47">
        <v>419808.43</v>
      </c>
      <c r="I40" s="26">
        <f t="shared" si="9"/>
        <v>0.87460089583333334</v>
      </c>
      <c r="J40" s="30">
        <v>16000</v>
      </c>
      <c r="K40" s="47">
        <v>15200</v>
      </c>
      <c r="L40" s="26">
        <f>K40/J40</f>
        <v>0.95</v>
      </c>
      <c r="M40" s="30">
        <v>0</v>
      </c>
      <c r="N40" s="47">
        <v>0</v>
      </c>
      <c r="O40" s="26"/>
      <c r="P40" s="44">
        <f t="shared" ref="P40:P52" si="13">SUM(H40,K40,N40)</f>
        <v>435008.43</v>
      </c>
      <c r="Q40" s="20">
        <f t="shared" si="2"/>
        <v>0.87703312499999997</v>
      </c>
    </row>
    <row r="41" spans="1:17" ht="38.25" x14ac:dyDescent="0.25">
      <c r="A41" s="9" t="s">
        <v>78</v>
      </c>
      <c r="B41" s="10" t="s">
        <v>79</v>
      </c>
      <c r="C41" s="22">
        <f t="shared" si="6"/>
        <v>200000</v>
      </c>
      <c r="D41" s="32"/>
      <c r="E41" s="30"/>
      <c r="F41" s="31"/>
      <c r="G41" s="30">
        <v>200000</v>
      </c>
      <c r="H41" s="47">
        <f>110861.2</f>
        <v>110861.2</v>
      </c>
      <c r="I41" s="26">
        <f t="shared" si="9"/>
        <v>0.55430599999999997</v>
      </c>
      <c r="J41" s="30">
        <v>0</v>
      </c>
      <c r="K41" s="47">
        <v>0</v>
      </c>
      <c r="L41" s="26"/>
      <c r="M41" s="30">
        <v>0</v>
      </c>
      <c r="N41" s="47">
        <v>0</v>
      </c>
      <c r="O41" s="26"/>
      <c r="P41" s="44">
        <f t="shared" si="13"/>
        <v>110861.2</v>
      </c>
      <c r="Q41" s="20">
        <f t="shared" si="2"/>
        <v>0.55430599999999997</v>
      </c>
    </row>
    <row r="42" spans="1:17" x14ac:dyDescent="0.25">
      <c r="A42" s="9" t="s">
        <v>80</v>
      </c>
      <c r="B42" s="10" t="s">
        <v>81</v>
      </c>
      <c r="C42" s="22">
        <f t="shared" si="6"/>
        <v>202800</v>
      </c>
      <c r="D42" s="32"/>
      <c r="E42" s="30"/>
      <c r="F42" s="31"/>
      <c r="G42" s="30">
        <v>170000</v>
      </c>
      <c r="H42" s="47">
        <f>SUM(H43:H51)</f>
        <v>88061.499999999985</v>
      </c>
      <c r="I42" s="26">
        <f t="shared" si="9"/>
        <v>0.51800882352941169</v>
      </c>
      <c r="J42" s="30">
        <v>15000</v>
      </c>
      <c r="K42" s="47">
        <f>SUM(K43:K51)</f>
        <v>12890.99</v>
      </c>
      <c r="L42" s="26">
        <f t="shared" ref="L42" si="14">K42/J42</f>
        <v>0.85939933333333329</v>
      </c>
      <c r="M42" s="30">
        <v>17800</v>
      </c>
      <c r="N42" s="47">
        <f>SUM(N43:N51)</f>
        <v>7713</v>
      </c>
      <c r="O42" s="26">
        <f t="shared" si="4"/>
        <v>0.43331460674157302</v>
      </c>
      <c r="P42" s="44">
        <f t="shared" si="13"/>
        <v>108665.48999999999</v>
      </c>
      <c r="Q42" s="20">
        <f t="shared" si="2"/>
        <v>0.53582588757396443</v>
      </c>
    </row>
    <row r="43" spans="1:17" x14ac:dyDescent="0.25">
      <c r="A43" s="9" t="s">
        <v>82</v>
      </c>
      <c r="B43" s="10" t="s">
        <v>83</v>
      </c>
      <c r="C43" s="22">
        <f t="shared" si="6"/>
        <v>0</v>
      </c>
      <c r="D43" s="48"/>
      <c r="E43" s="49"/>
      <c r="F43" s="50"/>
      <c r="G43" s="51"/>
      <c r="H43" s="52">
        <v>45281.74</v>
      </c>
      <c r="I43" s="26"/>
      <c r="J43" s="51"/>
      <c r="K43" s="52"/>
      <c r="L43" s="26"/>
      <c r="M43" s="51"/>
      <c r="N43" s="52"/>
      <c r="O43" s="26"/>
      <c r="P43" s="44">
        <f t="shared" si="13"/>
        <v>45281.74</v>
      </c>
      <c r="Q43" s="20"/>
    </row>
    <row r="44" spans="1:17" x14ac:dyDescent="0.25">
      <c r="A44" s="9"/>
      <c r="B44" s="10" t="s">
        <v>84</v>
      </c>
      <c r="C44" s="22"/>
      <c r="D44" s="48"/>
      <c r="E44" s="49"/>
      <c r="F44" s="50"/>
      <c r="G44" s="51"/>
      <c r="H44" s="52">
        <v>4000</v>
      </c>
      <c r="I44" s="26"/>
      <c r="J44" s="51"/>
      <c r="K44" s="52">
        <v>4000</v>
      </c>
      <c r="L44" s="26"/>
      <c r="M44" s="51"/>
      <c r="N44" s="52"/>
      <c r="O44" s="26"/>
      <c r="P44" s="44">
        <f t="shared" si="13"/>
        <v>8000</v>
      </c>
      <c r="Q44" s="20"/>
    </row>
    <row r="45" spans="1:17" ht="25.5" x14ac:dyDescent="0.25">
      <c r="A45" s="9"/>
      <c r="B45" s="10" t="s">
        <v>85</v>
      </c>
      <c r="C45" s="22"/>
      <c r="D45" s="48"/>
      <c r="E45" s="49"/>
      <c r="F45" s="50"/>
      <c r="G45" s="51"/>
      <c r="H45" s="52">
        <v>22874</v>
      </c>
      <c r="I45" s="26"/>
      <c r="J45" s="51"/>
      <c r="K45" s="52">
        <v>1700</v>
      </c>
      <c r="L45" s="26"/>
      <c r="M45" s="51"/>
      <c r="N45" s="52"/>
      <c r="O45" s="26"/>
      <c r="P45" s="44">
        <f t="shared" si="13"/>
        <v>24574</v>
      </c>
      <c r="Q45" s="20"/>
    </row>
    <row r="46" spans="1:17" x14ac:dyDescent="0.25">
      <c r="A46" s="9"/>
      <c r="B46" s="10" t="s">
        <v>86</v>
      </c>
      <c r="C46" s="22"/>
      <c r="D46" s="48"/>
      <c r="E46" s="49"/>
      <c r="F46" s="50"/>
      <c r="G46" s="51"/>
      <c r="H46" s="52">
        <v>2583.7600000000002</v>
      </c>
      <c r="I46" s="26"/>
      <c r="J46" s="51"/>
      <c r="K46" s="52">
        <v>390.99</v>
      </c>
      <c r="L46" s="26"/>
      <c r="M46" s="51"/>
      <c r="N46" s="52"/>
      <c r="O46" s="26"/>
      <c r="P46" s="44">
        <f t="shared" si="13"/>
        <v>2974.75</v>
      </c>
      <c r="Q46" s="20"/>
    </row>
    <row r="47" spans="1:17" x14ac:dyDescent="0.25">
      <c r="A47" s="9"/>
      <c r="B47" s="10" t="s">
        <v>87</v>
      </c>
      <c r="C47" s="22"/>
      <c r="D47" s="48"/>
      <c r="E47" s="49"/>
      <c r="F47" s="50"/>
      <c r="G47" s="51"/>
      <c r="H47" s="52">
        <v>2002</v>
      </c>
      <c r="I47" s="26"/>
      <c r="J47" s="51"/>
      <c r="K47" s="52"/>
      <c r="L47" s="26"/>
      <c r="M47" s="51"/>
      <c r="N47" s="52"/>
      <c r="O47" s="26"/>
      <c r="P47" s="44">
        <f t="shared" si="13"/>
        <v>2002</v>
      </c>
      <c r="Q47" s="20"/>
    </row>
    <row r="48" spans="1:17" x14ac:dyDescent="0.25">
      <c r="A48" s="9"/>
      <c r="B48" s="10" t="s">
        <v>88</v>
      </c>
      <c r="C48" s="22"/>
      <c r="D48" s="48"/>
      <c r="E48" s="49"/>
      <c r="F48" s="50"/>
      <c r="G48" s="51"/>
      <c r="H48" s="52">
        <v>5000</v>
      </c>
      <c r="I48" s="26"/>
      <c r="J48" s="51"/>
      <c r="K48" s="52"/>
      <c r="L48" s="26"/>
      <c r="M48" s="51"/>
      <c r="N48" s="52"/>
      <c r="O48" s="26"/>
      <c r="P48" s="44">
        <f t="shared" si="13"/>
        <v>5000</v>
      </c>
      <c r="Q48" s="20"/>
    </row>
    <row r="49" spans="1:17" x14ac:dyDescent="0.25">
      <c r="A49" s="9"/>
      <c r="B49" s="10" t="s">
        <v>89</v>
      </c>
      <c r="C49" s="22"/>
      <c r="D49" s="48"/>
      <c r="E49" s="49"/>
      <c r="F49" s="50"/>
      <c r="G49" s="51"/>
      <c r="H49" s="52">
        <v>6320</v>
      </c>
      <c r="I49" s="26"/>
      <c r="J49" s="51"/>
      <c r="K49" s="52"/>
      <c r="L49" s="26"/>
      <c r="M49" s="51"/>
      <c r="N49" s="52"/>
      <c r="O49" s="26"/>
      <c r="P49" s="44">
        <f t="shared" si="13"/>
        <v>6320</v>
      </c>
      <c r="Q49" s="20"/>
    </row>
    <row r="50" spans="1:17" x14ac:dyDescent="0.25">
      <c r="A50" s="9"/>
      <c r="B50" s="10" t="s">
        <v>90</v>
      </c>
      <c r="C50" s="22"/>
      <c r="D50" s="48"/>
      <c r="E50" s="49"/>
      <c r="F50" s="50"/>
      <c r="G50" s="51"/>
      <c r="H50" s="52"/>
      <c r="I50" s="26"/>
      <c r="J50" s="51"/>
      <c r="K50" s="52"/>
      <c r="L50" s="26"/>
      <c r="M50" s="51"/>
      <c r="N50" s="52">
        <v>393</v>
      </c>
      <c r="O50" s="26"/>
      <c r="P50" s="44">
        <f t="shared" si="13"/>
        <v>393</v>
      </c>
      <c r="Q50" s="20"/>
    </row>
    <row r="51" spans="1:17" x14ac:dyDescent="0.25">
      <c r="A51" s="9"/>
      <c r="B51" s="10" t="s">
        <v>91</v>
      </c>
      <c r="C51" s="22"/>
      <c r="D51" s="48"/>
      <c r="E51" s="49"/>
      <c r="F51" s="50"/>
      <c r="G51" s="51"/>
      <c r="H51" s="52"/>
      <c r="I51" s="53"/>
      <c r="J51" s="51"/>
      <c r="K51" s="52">
        <v>6800</v>
      </c>
      <c r="L51" s="26"/>
      <c r="M51" s="51"/>
      <c r="N51" s="52">
        <v>7320</v>
      </c>
      <c r="O51" s="26"/>
      <c r="P51" s="44">
        <f t="shared" si="13"/>
        <v>14120</v>
      </c>
      <c r="Q51" s="20"/>
    </row>
    <row r="52" spans="1:17" ht="38.25" x14ac:dyDescent="0.25">
      <c r="A52" s="9" t="s">
        <v>92</v>
      </c>
      <c r="B52" s="10" t="s">
        <v>93</v>
      </c>
      <c r="C52" s="22">
        <f t="shared" si="6"/>
        <v>60000</v>
      </c>
      <c r="D52" s="32"/>
      <c r="E52" s="30"/>
      <c r="F52" s="31"/>
      <c r="G52" s="30">
        <v>60000</v>
      </c>
      <c r="H52" s="47">
        <v>0</v>
      </c>
      <c r="I52" s="53">
        <f t="shared" si="9"/>
        <v>0</v>
      </c>
      <c r="J52" s="30">
        <v>0</v>
      </c>
      <c r="K52" s="47">
        <v>0</v>
      </c>
      <c r="L52" s="26"/>
      <c r="M52" s="30">
        <v>0</v>
      </c>
      <c r="N52" s="47">
        <v>0</v>
      </c>
      <c r="O52" s="26"/>
      <c r="P52" s="44">
        <f t="shared" si="13"/>
        <v>0</v>
      </c>
      <c r="Q52" s="20">
        <f t="shared" si="2"/>
        <v>0</v>
      </c>
    </row>
    <row r="53" spans="1:17" ht="26.25" x14ac:dyDescent="0.25">
      <c r="A53" s="54"/>
      <c r="B53" s="3" t="s">
        <v>94</v>
      </c>
      <c r="C53" s="39">
        <f>SUM(G53,J53,M53)</f>
        <v>2941319.6999999997</v>
      </c>
      <c r="D53" s="55"/>
      <c r="E53" s="56"/>
      <c r="F53" s="57"/>
      <c r="G53" s="41">
        <f>G4*0.15</f>
        <v>1850549.0999999999</v>
      </c>
      <c r="H53" s="58">
        <f>SUM(H54:H57)</f>
        <v>605200</v>
      </c>
      <c r="I53" s="59">
        <f>H53/G53</f>
        <v>0.32703806670139152</v>
      </c>
      <c r="J53" s="41">
        <f>J4*0.15</f>
        <v>730950.07499999995</v>
      </c>
      <c r="K53" s="42">
        <v>0</v>
      </c>
      <c r="L53" s="43"/>
      <c r="M53" s="41">
        <f>M4*0.15</f>
        <v>359820.52499999997</v>
      </c>
      <c r="N53" s="60">
        <v>0</v>
      </c>
      <c r="O53" s="59"/>
      <c r="P53" s="61">
        <f>SUM(H53,K53,N53)</f>
        <v>605200</v>
      </c>
      <c r="Q53" s="43">
        <f t="shared" si="2"/>
        <v>0.20575797999789008</v>
      </c>
    </row>
    <row r="54" spans="1:17" ht="63.75" x14ac:dyDescent="0.25">
      <c r="A54" s="62"/>
      <c r="B54" s="10" t="s">
        <v>95</v>
      </c>
      <c r="C54" s="63"/>
      <c r="D54" s="64"/>
      <c r="E54" s="65"/>
      <c r="F54" s="66"/>
      <c r="G54" s="67"/>
      <c r="H54" s="68">
        <v>420000</v>
      </c>
      <c r="I54" s="69"/>
      <c r="J54" s="67"/>
      <c r="K54" s="70"/>
      <c r="L54" s="71"/>
      <c r="M54" s="67"/>
      <c r="N54" s="66"/>
      <c r="O54" s="69"/>
      <c r="P54" s="72">
        <f>SUM(H54,K54,N54)</f>
        <v>420000</v>
      </c>
      <c r="Q54" s="73"/>
    </row>
    <row r="55" spans="1:17" ht="38.25" x14ac:dyDescent="0.25">
      <c r="A55" s="62"/>
      <c r="B55" s="10" t="s">
        <v>96</v>
      </c>
      <c r="C55" s="63"/>
      <c r="D55" s="64"/>
      <c r="E55" s="65"/>
      <c r="F55" s="66"/>
      <c r="G55" s="67"/>
      <c r="H55" s="68">
        <v>55000</v>
      </c>
      <c r="I55" s="69"/>
      <c r="J55" s="67"/>
      <c r="K55" s="70"/>
      <c r="L55" s="71"/>
      <c r="M55" s="67"/>
      <c r="N55" s="66"/>
      <c r="O55" s="69"/>
      <c r="P55" s="72">
        <f t="shared" ref="P55:P57" si="15">SUM(H55,K55,N55)</f>
        <v>55000</v>
      </c>
      <c r="Q55" s="73"/>
    </row>
    <row r="56" spans="1:17" ht="25.5" x14ac:dyDescent="0.25">
      <c r="A56" s="74"/>
      <c r="B56" s="10" t="s">
        <v>97</v>
      </c>
      <c r="C56" s="75"/>
      <c r="D56" s="76"/>
      <c r="E56" s="77"/>
      <c r="F56" s="78"/>
      <c r="G56" s="77"/>
      <c r="H56" s="68">
        <v>100000</v>
      </c>
      <c r="I56" s="78"/>
      <c r="J56" s="77"/>
      <c r="K56" s="78"/>
      <c r="L56" s="79"/>
      <c r="M56" s="77"/>
      <c r="N56" s="78"/>
      <c r="O56" s="78"/>
      <c r="P56" s="72">
        <f t="shared" si="15"/>
        <v>100000</v>
      </c>
      <c r="Q56" s="73"/>
    </row>
    <row r="57" spans="1:17" ht="51" x14ac:dyDescent="0.25">
      <c r="A57" s="74"/>
      <c r="B57" s="10" t="s">
        <v>98</v>
      </c>
      <c r="C57" s="75"/>
      <c r="D57" s="76"/>
      <c r="E57" s="77"/>
      <c r="F57" s="78"/>
      <c r="G57" s="77"/>
      <c r="H57" s="68">
        <v>30200</v>
      </c>
      <c r="I57" s="75"/>
      <c r="J57" s="77"/>
      <c r="K57" s="78"/>
      <c r="L57" s="80"/>
      <c r="M57" s="77"/>
      <c r="N57" s="78"/>
      <c r="O57" s="75"/>
      <c r="P57" s="72">
        <f t="shared" si="15"/>
        <v>30200</v>
      </c>
      <c r="Q57" s="73"/>
    </row>
    <row r="58" spans="1:17" x14ac:dyDescent="0.25">
      <c r="A58" s="81"/>
      <c r="B58" s="82"/>
      <c r="C58" s="83"/>
      <c r="D58" s="84"/>
      <c r="E58" s="85"/>
      <c r="F58" s="86"/>
      <c r="G58" s="85"/>
      <c r="H58" s="87"/>
      <c r="I58" s="88"/>
      <c r="J58" s="85"/>
      <c r="K58" s="87"/>
      <c r="L58" s="88"/>
      <c r="M58" s="85"/>
      <c r="N58" s="87"/>
      <c r="O58" s="88"/>
      <c r="P58" s="89"/>
      <c r="Q58" s="90"/>
    </row>
    <row r="59" spans="1:17" x14ac:dyDescent="0.25">
      <c r="A59" s="91"/>
      <c r="B59" s="92"/>
      <c r="C59" s="92"/>
      <c r="D59" s="92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</row>
    <row r="60" spans="1:17" x14ac:dyDescent="0.25">
      <c r="A60" s="207" t="s">
        <v>99</v>
      </c>
      <c r="B60" s="207"/>
      <c r="C60" s="207"/>
      <c r="D60" s="207"/>
      <c r="E60" s="207"/>
      <c r="F60" s="207"/>
      <c r="G60" s="207"/>
      <c r="H60" s="207"/>
      <c r="I60" s="93" t="s">
        <v>100</v>
      </c>
      <c r="J60" s="93"/>
      <c r="K60" s="93"/>
      <c r="L60" s="93"/>
      <c r="M60" s="93"/>
      <c r="N60" s="93"/>
      <c r="O60" s="93"/>
      <c r="P60" s="93"/>
      <c r="Q60" s="93"/>
    </row>
    <row r="61" spans="1:17" x14ac:dyDescent="0.25">
      <c r="A61" s="208" t="s">
        <v>101</v>
      </c>
      <c r="B61" s="209" t="s">
        <v>102</v>
      </c>
      <c r="C61" s="210" t="s">
        <v>103</v>
      </c>
      <c r="D61" s="211"/>
      <c r="E61" s="211"/>
      <c r="F61" s="211"/>
      <c r="G61" s="212"/>
      <c r="H61" s="213" t="s">
        <v>104</v>
      </c>
      <c r="I61" s="214"/>
      <c r="J61" s="206" t="s">
        <v>105</v>
      </c>
      <c r="K61" s="192"/>
      <c r="L61" s="94"/>
      <c r="M61" s="94"/>
      <c r="N61" s="94"/>
      <c r="O61" s="94"/>
      <c r="P61" s="94"/>
      <c r="Q61" s="94"/>
    </row>
    <row r="62" spans="1:17" x14ac:dyDescent="0.25">
      <c r="A62" s="192"/>
      <c r="B62" s="193"/>
      <c r="C62" s="201" t="s">
        <v>106</v>
      </c>
      <c r="D62" s="202"/>
      <c r="E62" s="202"/>
      <c r="F62" s="202"/>
      <c r="G62" s="203"/>
      <c r="H62" s="204" t="s">
        <v>107</v>
      </c>
      <c r="I62" s="205"/>
      <c r="J62" s="206">
        <v>9457165.9399999995</v>
      </c>
      <c r="K62" s="192"/>
      <c r="L62" s="94"/>
      <c r="M62" s="94"/>
      <c r="N62" s="94"/>
      <c r="O62" s="94"/>
      <c r="P62" s="94"/>
      <c r="Q62" s="94"/>
    </row>
    <row r="63" spans="1:17" x14ac:dyDescent="0.25">
      <c r="A63" s="192"/>
      <c r="B63" s="193"/>
      <c r="C63" s="201" t="s">
        <v>108</v>
      </c>
      <c r="D63" s="202"/>
      <c r="E63" s="202"/>
      <c r="F63" s="202"/>
      <c r="G63" s="203"/>
      <c r="H63" s="204" t="s">
        <v>109</v>
      </c>
      <c r="I63" s="205"/>
      <c r="J63" s="206">
        <v>21000000</v>
      </c>
      <c r="K63" s="192"/>
      <c r="L63" s="94"/>
      <c r="M63" s="94"/>
      <c r="N63" s="94"/>
      <c r="O63" s="94"/>
      <c r="P63" s="94"/>
      <c r="Q63" s="94"/>
    </row>
    <row r="64" spans="1:17" x14ac:dyDescent="0.25">
      <c r="A64" s="192"/>
      <c r="B64" s="193"/>
      <c r="C64" s="201" t="s">
        <v>110</v>
      </c>
      <c r="D64" s="202"/>
      <c r="E64" s="202"/>
      <c r="F64" s="202"/>
      <c r="G64" s="203"/>
      <c r="H64" s="204" t="s">
        <v>111</v>
      </c>
      <c r="I64" s="205"/>
      <c r="J64" s="206">
        <v>17000000</v>
      </c>
      <c r="K64" s="192"/>
      <c r="L64" s="94"/>
      <c r="M64" s="94"/>
      <c r="N64" s="94"/>
      <c r="O64" s="94"/>
      <c r="P64" s="94"/>
      <c r="Q64" s="94"/>
    </row>
    <row r="65" spans="1:17" x14ac:dyDescent="0.25">
      <c r="A65" s="192"/>
      <c r="B65" s="193"/>
      <c r="C65" s="201" t="s">
        <v>110</v>
      </c>
      <c r="D65" s="202"/>
      <c r="E65" s="202"/>
      <c r="F65" s="202"/>
      <c r="G65" s="203"/>
      <c r="H65" s="204" t="s">
        <v>112</v>
      </c>
      <c r="I65" s="205"/>
      <c r="J65" s="206">
        <v>21700000</v>
      </c>
      <c r="K65" s="192"/>
      <c r="L65" s="95"/>
      <c r="M65" s="95"/>
      <c r="N65" s="95"/>
      <c r="O65" s="95"/>
      <c r="P65" s="95"/>
      <c r="Q65" s="95"/>
    </row>
    <row r="66" spans="1:17" x14ac:dyDescent="0.25">
      <c r="A66" s="192"/>
      <c r="B66" s="193"/>
      <c r="C66" s="201" t="s">
        <v>108</v>
      </c>
      <c r="D66" s="202"/>
      <c r="E66" s="202"/>
      <c r="F66" s="202"/>
      <c r="G66" s="203"/>
      <c r="H66" s="204" t="s">
        <v>113</v>
      </c>
      <c r="I66" s="205"/>
      <c r="J66" s="206">
        <v>27900000</v>
      </c>
      <c r="K66" s="192"/>
      <c r="L66" s="94"/>
      <c r="M66" s="94"/>
      <c r="N66" s="94"/>
      <c r="O66" s="94"/>
      <c r="P66" s="94"/>
      <c r="Q66" s="94"/>
    </row>
    <row r="67" spans="1:17" x14ac:dyDescent="0.25">
      <c r="A67" s="192"/>
      <c r="B67" s="193"/>
      <c r="C67" s="201" t="s">
        <v>108</v>
      </c>
      <c r="D67" s="202"/>
      <c r="E67" s="202"/>
      <c r="F67" s="202"/>
      <c r="G67" s="203"/>
      <c r="H67" s="215" t="s">
        <v>114</v>
      </c>
      <c r="I67" s="216"/>
      <c r="J67" s="206">
        <v>15900000</v>
      </c>
      <c r="K67" s="192"/>
      <c r="L67" s="94"/>
      <c r="M67" s="94"/>
      <c r="N67" s="94"/>
      <c r="O67" s="94"/>
      <c r="P67" s="94"/>
      <c r="Q67" s="94"/>
    </row>
    <row r="68" spans="1:17" x14ac:dyDescent="0.25">
      <c r="A68" s="192"/>
      <c r="B68" s="193"/>
      <c r="C68" s="201" t="s">
        <v>110</v>
      </c>
      <c r="D68" s="202"/>
      <c r="E68" s="202"/>
      <c r="F68" s="202"/>
      <c r="G68" s="203"/>
      <c r="H68" s="215" t="s">
        <v>115</v>
      </c>
      <c r="I68" s="216"/>
      <c r="J68" s="206">
        <v>20000000</v>
      </c>
      <c r="K68" s="192"/>
      <c r="L68" s="94"/>
      <c r="M68" s="94"/>
      <c r="N68" s="94"/>
      <c r="O68" s="94"/>
      <c r="P68" s="94"/>
      <c r="Q68" s="94"/>
    </row>
    <row r="69" spans="1:17" x14ac:dyDescent="0.25">
      <c r="A69" s="192"/>
      <c r="B69" s="194"/>
      <c r="C69" s="201" t="s">
        <v>110</v>
      </c>
      <c r="D69" s="202"/>
      <c r="E69" s="202"/>
      <c r="F69" s="202"/>
      <c r="G69" s="203"/>
      <c r="H69" s="215" t="s">
        <v>116</v>
      </c>
      <c r="I69" s="216"/>
      <c r="J69" s="206">
        <v>7700000</v>
      </c>
      <c r="K69" s="192"/>
      <c r="L69" s="94"/>
      <c r="M69" s="94"/>
      <c r="N69" s="94"/>
      <c r="O69" s="94"/>
      <c r="P69" s="94"/>
      <c r="Q69" s="94"/>
    </row>
    <row r="70" spans="1:17" x14ac:dyDescent="0.25">
      <c r="A70" s="192"/>
      <c r="B70" s="96" t="s">
        <v>117</v>
      </c>
      <c r="C70" s="217"/>
      <c r="D70" s="218"/>
      <c r="E70" s="192"/>
      <c r="F70" s="192"/>
      <c r="G70" s="192"/>
      <c r="H70" s="213"/>
      <c r="I70" s="214"/>
      <c r="J70" s="219">
        <f>SUM(J62:J69)</f>
        <v>140657165.94</v>
      </c>
      <c r="K70" s="220"/>
      <c r="L70" s="97"/>
      <c r="M70" s="97"/>
      <c r="N70" s="97"/>
      <c r="O70" s="97"/>
      <c r="P70" s="97"/>
      <c r="Q70" s="97"/>
    </row>
    <row r="71" spans="1:17" x14ac:dyDescent="0.25">
      <c r="A71" s="221" t="s">
        <v>118</v>
      </c>
      <c r="B71" s="209" t="s">
        <v>119</v>
      </c>
      <c r="C71" s="217" t="s">
        <v>103</v>
      </c>
      <c r="D71" s="218"/>
      <c r="E71" s="192"/>
      <c r="F71" s="192"/>
      <c r="G71" s="192"/>
      <c r="H71" s="213" t="s">
        <v>104</v>
      </c>
      <c r="I71" s="214"/>
      <c r="J71" s="206" t="s">
        <v>105</v>
      </c>
      <c r="K71" s="192"/>
      <c r="L71" s="98"/>
      <c r="M71" s="98"/>
      <c r="N71" s="98"/>
      <c r="O71" s="98"/>
      <c r="P71" s="98"/>
      <c r="Q71" s="98"/>
    </row>
    <row r="72" spans="1:17" x14ac:dyDescent="0.25">
      <c r="A72" s="221"/>
      <c r="B72" s="222"/>
      <c r="C72" s="217" t="s">
        <v>120</v>
      </c>
      <c r="D72" s="218"/>
      <c r="E72" s="192"/>
      <c r="F72" s="192"/>
      <c r="G72" s="192"/>
      <c r="H72" s="213" t="s">
        <v>121</v>
      </c>
      <c r="I72" s="214"/>
      <c r="J72" s="223">
        <v>7000000</v>
      </c>
      <c r="K72" s="224"/>
      <c r="L72" s="98"/>
      <c r="M72" s="98"/>
      <c r="N72" s="98"/>
      <c r="O72" s="98"/>
      <c r="P72" s="98"/>
      <c r="Q72" s="98"/>
    </row>
    <row r="73" spans="1:17" x14ac:dyDescent="0.25">
      <c r="A73" s="221"/>
      <c r="B73" s="222"/>
      <c r="C73" s="217" t="s">
        <v>122</v>
      </c>
      <c r="D73" s="218"/>
      <c r="E73" s="192"/>
      <c r="F73" s="192"/>
      <c r="G73" s="192"/>
      <c r="H73" s="213" t="s">
        <v>123</v>
      </c>
      <c r="I73" s="214"/>
      <c r="J73" s="223">
        <v>1175306.77</v>
      </c>
      <c r="K73" s="224"/>
      <c r="L73" s="98"/>
      <c r="M73" s="98"/>
      <c r="N73" s="98"/>
      <c r="O73" s="98"/>
      <c r="P73" s="98"/>
      <c r="Q73" s="98"/>
    </row>
    <row r="74" spans="1:17" x14ac:dyDescent="0.25">
      <c r="A74" s="221"/>
      <c r="B74" s="222"/>
      <c r="C74" s="217" t="s">
        <v>122</v>
      </c>
      <c r="D74" s="218"/>
      <c r="E74" s="192"/>
      <c r="F74" s="192"/>
      <c r="G74" s="192"/>
      <c r="H74" s="213" t="s">
        <v>124</v>
      </c>
      <c r="I74" s="214"/>
      <c r="J74" s="223">
        <v>79994.039999999994</v>
      </c>
      <c r="K74" s="224"/>
      <c r="L74" s="98"/>
      <c r="M74" s="98"/>
      <c r="N74" s="98"/>
      <c r="O74" s="98"/>
      <c r="P74" s="98"/>
      <c r="Q74" s="98"/>
    </row>
    <row r="75" spans="1:17" x14ac:dyDescent="0.25">
      <c r="A75" s="221"/>
      <c r="B75" s="99"/>
      <c r="C75" s="217"/>
      <c r="D75" s="218"/>
      <c r="E75" s="192"/>
      <c r="F75" s="192"/>
      <c r="G75" s="192"/>
      <c r="H75" s="213"/>
      <c r="I75" s="214"/>
      <c r="J75" s="223"/>
      <c r="K75" s="224"/>
      <c r="L75" s="98"/>
      <c r="M75" s="98"/>
      <c r="N75" s="98"/>
      <c r="O75" s="98"/>
      <c r="P75" s="98"/>
      <c r="Q75" s="98"/>
    </row>
    <row r="76" spans="1:17" x14ac:dyDescent="0.25">
      <c r="A76" s="221"/>
      <c r="B76" s="99"/>
      <c r="C76" s="201" t="s">
        <v>110</v>
      </c>
      <c r="D76" s="202"/>
      <c r="E76" s="202"/>
      <c r="F76" s="202"/>
      <c r="G76" s="203"/>
      <c r="H76" s="213" t="s">
        <v>125</v>
      </c>
      <c r="I76" s="214"/>
      <c r="J76" s="223">
        <v>479716.36</v>
      </c>
      <c r="K76" s="224"/>
      <c r="L76" s="98"/>
      <c r="M76" s="98"/>
      <c r="N76" s="98"/>
      <c r="O76" s="98"/>
      <c r="P76" s="98"/>
      <c r="Q76" s="98"/>
    </row>
    <row r="77" spans="1:17" x14ac:dyDescent="0.25">
      <c r="A77" s="221"/>
      <c r="B77" s="99"/>
      <c r="C77" s="217" t="s">
        <v>120</v>
      </c>
      <c r="D77" s="218"/>
      <c r="E77" s="192"/>
      <c r="F77" s="192"/>
      <c r="G77" s="192"/>
      <c r="H77" s="213" t="s">
        <v>126</v>
      </c>
      <c r="I77" s="214"/>
      <c r="J77" s="223">
        <v>224619.84</v>
      </c>
      <c r="K77" s="224"/>
      <c r="L77" s="98"/>
      <c r="M77" s="98"/>
      <c r="N77" s="98"/>
      <c r="O77" s="98"/>
      <c r="P77" s="98"/>
      <c r="Q77" s="98"/>
    </row>
    <row r="78" spans="1:17" x14ac:dyDescent="0.25">
      <c r="A78" s="221"/>
      <c r="B78" s="99"/>
      <c r="C78" s="201" t="s">
        <v>127</v>
      </c>
      <c r="D78" s="202"/>
      <c r="E78" s="202"/>
      <c r="F78" s="202"/>
      <c r="G78" s="203"/>
      <c r="H78" s="213" t="s">
        <v>128</v>
      </c>
      <c r="I78" s="214"/>
      <c r="J78" s="223">
        <v>2458593.0699999998</v>
      </c>
      <c r="K78" s="224"/>
      <c r="L78" s="98"/>
      <c r="M78" s="98"/>
      <c r="N78" s="98"/>
      <c r="O78" s="98"/>
      <c r="P78" s="98"/>
      <c r="Q78" s="98"/>
    </row>
    <row r="79" spans="1:17" x14ac:dyDescent="0.25">
      <c r="A79" s="192"/>
      <c r="B79" s="96" t="s">
        <v>117</v>
      </c>
      <c r="C79" s="217"/>
      <c r="D79" s="218"/>
      <c r="E79" s="192"/>
      <c r="F79" s="192"/>
      <c r="G79" s="192"/>
      <c r="H79" s="213"/>
      <c r="I79" s="214"/>
      <c r="J79" s="225">
        <f>SUM(J72:K78)</f>
        <v>11418230.08</v>
      </c>
      <c r="K79" s="226"/>
      <c r="L79" s="97"/>
      <c r="M79" s="97"/>
      <c r="N79" s="97"/>
      <c r="O79" s="97"/>
      <c r="P79" s="97"/>
      <c r="Q79" s="97"/>
    </row>
  </sheetData>
  <mergeCells count="90">
    <mergeCell ref="J75:K75"/>
    <mergeCell ref="C76:G76"/>
    <mergeCell ref="H76:I76"/>
    <mergeCell ref="J76:K76"/>
    <mergeCell ref="C79:G79"/>
    <mergeCell ref="H79:I79"/>
    <mergeCell ref="J79:K79"/>
    <mergeCell ref="C77:G77"/>
    <mergeCell ref="H77:I77"/>
    <mergeCell ref="J77:K77"/>
    <mergeCell ref="C78:G78"/>
    <mergeCell ref="H78:I78"/>
    <mergeCell ref="J78:K78"/>
    <mergeCell ref="A71:A79"/>
    <mergeCell ref="B71:B74"/>
    <mergeCell ref="C71:G71"/>
    <mergeCell ref="H71:I71"/>
    <mergeCell ref="J71:K71"/>
    <mergeCell ref="C72:G72"/>
    <mergeCell ref="H72:I72"/>
    <mergeCell ref="J72:K72"/>
    <mergeCell ref="C73:G73"/>
    <mergeCell ref="H73:I73"/>
    <mergeCell ref="J73:K73"/>
    <mergeCell ref="C74:G74"/>
    <mergeCell ref="H74:I74"/>
    <mergeCell ref="J74:K74"/>
    <mergeCell ref="C75:G75"/>
    <mergeCell ref="H75:I75"/>
    <mergeCell ref="C69:G69"/>
    <mergeCell ref="H69:I69"/>
    <mergeCell ref="J69:K69"/>
    <mergeCell ref="C70:G70"/>
    <mergeCell ref="H70:I70"/>
    <mergeCell ref="J70:K70"/>
    <mergeCell ref="C67:G67"/>
    <mergeCell ref="H67:I67"/>
    <mergeCell ref="J67:K67"/>
    <mergeCell ref="C68:G68"/>
    <mergeCell ref="H68:I68"/>
    <mergeCell ref="J68:K68"/>
    <mergeCell ref="H64:I64"/>
    <mergeCell ref="J64:K64"/>
    <mergeCell ref="C66:G66"/>
    <mergeCell ref="H66:I66"/>
    <mergeCell ref="J66:K66"/>
    <mergeCell ref="C65:G65"/>
    <mergeCell ref="H65:I65"/>
    <mergeCell ref="J65:K65"/>
    <mergeCell ref="A60:H60"/>
    <mergeCell ref="A61:A70"/>
    <mergeCell ref="B61:B69"/>
    <mergeCell ref="C61:G61"/>
    <mergeCell ref="H61:I61"/>
    <mergeCell ref="J61:K61"/>
    <mergeCell ref="C62:G62"/>
    <mergeCell ref="H62:I62"/>
    <mergeCell ref="J62:K62"/>
    <mergeCell ref="C63:G63"/>
    <mergeCell ref="H63:I63"/>
    <mergeCell ref="J63:K63"/>
    <mergeCell ref="C64:G64"/>
    <mergeCell ref="Q4:Q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1:Q3"/>
    <mergeCell ref="G2:I2"/>
    <mergeCell ref="J2:L2"/>
    <mergeCell ref="M2:O2"/>
    <mergeCell ref="D3:F3"/>
    <mergeCell ref="P1:P3"/>
    <mergeCell ref="A4:A5"/>
    <mergeCell ref="B4:B5"/>
    <mergeCell ref="C4:C5"/>
    <mergeCell ref="D4:D5"/>
    <mergeCell ref="E4:E5"/>
    <mergeCell ref="A1:A3"/>
    <mergeCell ref="B1:B3"/>
    <mergeCell ref="C1:C3"/>
    <mergeCell ref="D1:F1"/>
    <mergeCell ref="G1:O1"/>
  </mergeCells>
  <pageMargins left="0.3" right="0.35433070866141736" top="0.74803149606299213" bottom="0.35" header="0.31496062992125984" footer="0.31496062992125984"/>
  <pageSetup paperSize="9" scale="68" fitToHeight="4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tabSelected="1" topLeftCell="B1" workbookViewId="0">
      <selection activeCell="R18" sqref="R18"/>
    </sheetView>
  </sheetViews>
  <sheetFormatPr defaultRowHeight="15" x14ac:dyDescent="0.25"/>
  <cols>
    <col min="2" max="2" width="19.140625" customWidth="1"/>
    <col min="3" max="3" width="13.42578125" customWidth="1"/>
    <col min="4" max="6" width="0" hidden="1" customWidth="1"/>
    <col min="7" max="7" width="10.85546875" customWidth="1"/>
    <col min="10" max="10" width="11.42578125" customWidth="1"/>
    <col min="14" max="14" width="10" customWidth="1"/>
    <col min="15" max="15" width="9.28515625" customWidth="1"/>
    <col min="18" max="18" width="9.5703125" customWidth="1"/>
    <col min="20" max="20" width="10.42578125" customWidth="1"/>
  </cols>
  <sheetData>
    <row r="1" spans="1:21" ht="18.75" x14ac:dyDescent="0.25">
      <c r="A1" s="227" t="s">
        <v>129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</row>
    <row r="2" spans="1:21" ht="18.75" hidden="1" x14ac:dyDescent="0.3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</row>
    <row r="3" spans="1:21" x14ac:dyDescent="0.25">
      <c r="A3" s="207" t="s">
        <v>130</v>
      </c>
      <c r="B3" s="228"/>
      <c r="C3" s="229"/>
      <c r="D3" s="229"/>
      <c r="E3" s="229"/>
      <c r="F3" s="229"/>
      <c r="G3" s="229"/>
      <c r="H3" s="229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21" ht="15.75" x14ac:dyDescent="0.25">
      <c r="A4" s="208" t="s">
        <v>101</v>
      </c>
      <c r="B4" s="230" t="s">
        <v>102</v>
      </c>
      <c r="C4" s="230" t="s">
        <v>131</v>
      </c>
      <c r="D4" s="230"/>
      <c r="E4" s="230"/>
      <c r="F4" s="230"/>
      <c r="G4" s="230"/>
      <c r="H4" s="230"/>
      <c r="I4" s="230"/>
      <c r="J4" s="230"/>
      <c r="K4" s="192"/>
      <c r="L4" s="192"/>
      <c r="M4" s="192"/>
      <c r="N4" s="101"/>
      <c r="O4" s="101"/>
      <c r="P4" s="265"/>
      <c r="Q4" s="266"/>
      <c r="R4" s="265"/>
      <c r="S4" s="265"/>
      <c r="T4" s="267" t="s">
        <v>190</v>
      </c>
      <c r="U4" s="101"/>
    </row>
    <row r="5" spans="1:21" ht="15.75" x14ac:dyDescent="0.25">
      <c r="A5" s="208"/>
      <c r="B5" s="230"/>
      <c r="C5" s="232" t="s">
        <v>132</v>
      </c>
      <c r="D5" s="233"/>
      <c r="E5" s="233"/>
      <c r="F5" s="233"/>
      <c r="G5" s="234"/>
      <c r="H5" s="235"/>
      <c r="I5" s="236" t="s">
        <v>133</v>
      </c>
      <c r="J5" s="237"/>
      <c r="K5" s="238">
        <v>16568754.09</v>
      </c>
      <c r="L5" s="239"/>
      <c r="M5" s="240"/>
      <c r="N5" s="102"/>
      <c r="O5" s="102"/>
      <c r="P5" s="265"/>
      <c r="Q5" s="266"/>
      <c r="R5" s="265"/>
      <c r="S5" s="265"/>
      <c r="T5" s="268" t="s">
        <v>191</v>
      </c>
      <c r="U5" s="102"/>
    </row>
    <row r="6" spans="1:21" ht="15.75" x14ac:dyDescent="0.25">
      <c r="A6" s="208"/>
      <c r="B6" s="230"/>
      <c r="C6" s="232" t="s">
        <v>134</v>
      </c>
      <c r="D6" s="233"/>
      <c r="E6" s="233"/>
      <c r="F6" s="233"/>
      <c r="G6" s="234"/>
      <c r="H6" s="235"/>
      <c r="I6" s="236" t="s">
        <v>135</v>
      </c>
      <c r="J6" s="237"/>
      <c r="K6" s="238">
        <v>6300000</v>
      </c>
      <c r="L6" s="239"/>
      <c r="M6" s="240"/>
      <c r="N6" s="102"/>
      <c r="O6" s="102"/>
      <c r="P6" s="265"/>
      <c r="Q6" s="266"/>
      <c r="R6" s="265"/>
      <c r="S6" s="265"/>
      <c r="T6" s="268" t="s">
        <v>192</v>
      </c>
      <c r="U6" s="102"/>
    </row>
    <row r="7" spans="1:21" ht="15.75" x14ac:dyDescent="0.25">
      <c r="A7" s="208"/>
      <c r="B7" s="230"/>
      <c r="C7" s="232" t="s">
        <v>136</v>
      </c>
      <c r="D7" s="233"/>
      <c r="E7" s="233"/>
      <c r="F7" s="233"/>
      <c r="G7" s="234"/>
      <c r="H7" s="235"/>
      <c r="I7" s="236" t="s">
        <v>137</v>
      </c>
      <c r="J7" s="237"/>
      <c r="K7" s="238">
        <v>16000000</v>
      </c>
      <c r="L7" s="239"/>
      <c r="M7" s="240"/>
      <c r="N7" s="102"/>
      <c r="O7" s="102"/>
      <c r="P7" s="265"/>
      <c r="Q7" s="266"/>
      <c r="R7" s="265"/>
      <c r="S7" s="265"/>
      <c r="T7" s="268" t="s">
        <v>193</v>
      </c>
      <c r="U7" s="102"/>
    </row>
    <row r="8" spans="1:21" ht="15.75" x14ac:dyDescent="0.25">
      <c r="A8" s="208"/>
      <c r="B8" s="230"/>
      <c r="C8" s="232" t="s">
        <v>134</v>
      </c>
      <c r="D8" s="233"/>
      <c r="E8" s="233"/>
      <c r="F8" s="233"/>
      <c r="G8" s="234"/>
      <c r="H8" s="235"/>
      <c r="I8" s="236" t="s">
        <v>138</v>
      </c>
      <c r="J8" s="237"/>
      <c r="K8" s="238">
        <v>16000000</v>
      </c>
      <c r="L8" s="239"/>
      <c r="M8" s="240"/>
      <c r="N8" s="103"/>
      <c r="O8" s="103"/>
      <c r="P8" s="265"/>
      <c r="Q8" s="269"/>
      <c r="R8" s="265"/>
      <c r="S8" s="265"/>
      <c r="T8" s="268" t="s">
        <v>194</v>
      </c>
      <c r="U8" s="103"/>
    </row>
    <row r="9" spans="1:21" ht="15.75" x14ac:dyDescent="0.25">
      <c r="A9" s="208"/>
      <c r="B9" s="230"/>
      <c r="C9" s="232" t="s">
        <v>134</v>
      </c>
      <c r="D9" s="233"/>
      <c r="E9" s="233"/>
      <c r="F9" s="233"/>
      <c r="G9" s="234"/>
      <c r="H9" s="235"/>
      <c r="I9" s="236" t="s">
        <v>139</v>
      </c>
      <c r="J9" s="237"/>
      <c r="K9" s="238">
        <v>20000000</v>
      </c>
      <c r="L9" s="239"/>
      <c r="M9" s="240"/>
      <c r="N9" s="103"/>
      <c r="O9" s="103"/>
      <c r="P9" s="265"/>
      <c r="Q9" s="266"/>
      <c r="R9" s="265"/>
      <c r="S9" s="265"/>
      <c r="T9" s="268" t="s">
        <v>197</v>
      </c>
      <c r="U9" s="103"/>
    </row>
    <row r="10" spans="1:21" ht="15.75" x14ac:dyDescent="0.25">
      <c r="A10" s="208"/>
      <c r="B10" s="230"/>
      <c r="C10" s="232" t="s">
        <v>140</v>
      </c>
      <c r="D10" s="233"/>
      <c r="E10" s="233"/>
      <c r="F10" s="233"/>
      <c r="G10" s="234"/>
      <c r="H10" s="235"/>
      <c r="I10" s="236" t="s">
        <v>141</v>
      </c>
      <c r="J10" s="237"/>
      <c r="K10" s="238">
        <v>27900000</v>
      </c>
      <c r="L10" s="239"/>
      <c r="M10" s="240"/>
      <c r="N10" s="103"/>
      <c r="O10" s="103"/>
      <c r="P10" s="265"/>
      <c r="Q10" s="266"/>
      <c r="R10" s="265"/>
      <c r="S10" s="265"/>
      <c r="T10" s="268" t="s">
        <v>195</v>
      </c>
      <c r="U10" s="103"/>
    </row>
    <row r="11" spans="1:21" ht="15.75" x14ac:dyDescent="0.25">
      <c r="A11" s="208"/>
      <c r="B11" s="230"/>
      <c r="C11" s="241" t="s">
        <v>140</v>
      </c>
      <c r="D11" s="241"/>
      <c r="E11" s="241"/>
      <c r="F11" s="241"/>
      <c r="G11" s="242"/>
      <c r="H11" s="242"/>
      <c r="I11" s="236" t="s">
        <v>142</v>
      </c>
      <c r="J11" s="237"/>
      <c r="K11" s="238">
        <v>15900000</v>
      </c>
      <c r="L11" s="239"/>
      <c r="M11" s="240"/>
      <c r="N11" s="104"/>
      <c r="O11" s="104"/>
      <c r="P11" s="265"/>
      <c r="Q11" s="266"/>
      <c r="R11" s="265"/>
      <c r="S11" s="265"/>
      <c r="T11" s="268"/>
      <c r="U11" s="104"/>
    </row>
    <row r="12" spans="1:21" ht="15.75" x14ac:dyDescent="0.25">
      <c r="A12" s="208"/>
      <c r="B12" s="230"/>
      <c r="C12" s="231" t="s">
        <v>143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4"/>
      <c r="N12" s="105"/>
      <c r="O12" s="105"/>
      <c r="P12" s="265"/>
      <c r="Q12" s="266"/>
      <c r="R12" s="266"/>
      <c r="S12" s="266"/>
      <c r="T12" s="268"/>
      <c r="U12" s="105"/>
    </row>
    <row r="13" spans="1:21" ht="15.75" x14ac:dyDescent="0.25">
      <c r="A13" s="208"/>
      <c r="B13" s="230"/>
      <c r="C13" s="232" t="s">
        <v>144</v>
      </c>
      <c r="D13" s="233"/>
      <c r="E13" s="233"/>
      <c r="F13" s="233"/>
      <c r="G13" s="234"/>
      <c r="H13" s="235"/>
      <c r="I13" s="236" t="s">
        <v>145</v>
      </c>
      <c r="J13" s="237"/>
      <c r="K13" s="238">
        <f>100579.89</f>
        <v>100579.89</v>
      </c>
      <c r="L13" s="239"/>
      <c r="M13" s="240"/>
      <c r="N13" s="105"/>
      <c r="O13" s="105"/>
      <c r="P13" s="265"/>
      <c r="Q13" s="270" t="s">
        <v>196</v>
      </c>
      <c r="R13" s="271"/>
      <c r="S13" s="266"/>
      <c r="T13" s="266"/>
      <c r="U13" s="105"/>
    </row>
    <row r="14" spans="1:21" x14ac:dyDescent="0.25">
      <c r="A14" s="208"/>
      <c r="B14" s="230"/>
      <c r="C14" s="241" t="s">
        <v>146</v>
      </c>
      <c r="D14" s="241"/>
      <c r="E14" s="241"/>
      <c r="F14" s="241"/>
      <c r="G14" s="242"/>
      <c r="H14" s="242"/>
      <c r="I14" s="245" t="s">
        <v>147</v>
      </c>
      <c r="J14" s="246"/>
      <c r="K14" s="238">
        <f>658678.05</f>
        <v>658678.05000000005</v>
      </c>
      <c r="L14" s="239"/>
      <c r="M14" s="240"/>
      <c r="N14" s="105"/>
      <c r="O14" s="105"/>
      <c r="P14" s="105"/>
      <c r="Q14" s="105"/>
      <c r="R14" s="105"/>
      <c r="S14" s="105"/>
      <c r="T14" s="105"/>
      <c r="U14" s="105"/>
    </row>
    <row r="15" spans="1:21" x14ac:dyDescent="0.25">
      <c r="A15" s="208"/>
      <c r="B15" s="231"/>
      <c r="C15" s="247" t="s">
        <v>148</v>
      </c>
      <c r="D15" s="248"/>
      <c r="E15" s="248"/>
      <c r="F15" s="248"/>
      <c r="G15" s="248"/>
      <c r="H15" s="249"/>
      <c r="I15" s="250"/>
      <c r="J15" s="251"/>
      <c r="K15" s="252">
        <f>SUM(K5:M11,K13:M14)</f>
        <v>119428012.03</v>
      </c>
      <c r="L15" s="253"/>
      <c r="M15" s="254"/>
      <c r="N15" s="105"/>
      <c r="O15" s="105"/>
      <c r="P15" s="105"/>
      <c r="Q15" s="105"/>
      <c r="R15" s="105"/>
      <c r="S15" s="105"/>
      <c r="T15" s="105"/>
      <c r="U15" s="105"/>
    </row>
    <row r="16" spans="1:21" x14ac:dyDescent="0.25">
      <c r="A16" s="230" t="s">
        <v>149</v>
      </c>
      <c r="B16" s="255" t="s">
        <v>119</v>
      </c>
      <c r="C16" s="232" t="s">
        <v>150</v>
      </c>
      <c r="D16" s="233"/>
      <c r="E16" s="233"/>
      <c r="F16" s="233"/>
      <c r="G16" s="234"/>
      <c r="H16" s="235"/>
      <c r="I16" s="236" t="s">
        <v>151</v>
      </c>
      <c r="J16" s="237"/>
      <c r="K16" s="238">
        <v>79994.039999999994</v>
      </c>
      <c r="L16" s="239"/>
      <c r="M16" s="240"/>
      <c r="N16" s="105"/>
      <c r="O16" s="105"/>
      <c r="P16" s="105"/>
      <c r="Q16" s="105"/>
      <c r="R16" s="105"/>
      <c r="S16" s="105"/>
      <c r="T16" s="105"/>
      <c r="U16" s="105"/>
    </row>
    <row r="17" spans="1:21" x14ac:dyDescent="0.25">
      <c r="A17" s="230"/>
      <c r="B17" s="255"/>
      <c r="C17" s="232" t="s">
        <v>150</v>
      </c>
      <c r="D17" s="233"/>
      <c r="E17" s="233"/>
      <c r="F17" s="233"/>
      <c r="G17" s="234"/>
      <c r="H17" s="235"/>
      <c r="I17" s="236" t="s">
        <v>152</v>
      </c>
      <c r="J17" s="237"/>
      <c r="K17" s="238">
        <f>6715622.73</f>
        <v>6715622.7300000004</v>
      </c>
      <c r="L17" s="239"/>
      <c r="M17" s="240"/>
      <c r="N17" s="105"/>
      <c r="O17" s="105"/>
      <c r="P17" s="105"/>
      <c r="Q17" s="105"/>
      <c r="R17" s="105"/>
      <c r="S17" s="105"/>
      <c r="T17" s="105"/>
      <c r="U17" s="105"/>
    </row>
    <row r="18" spans="1:21" x14ac:dyDescent="0.25">
      <c r="A18" s="230"/>
      <c r="B18" s="255"/>
      <c r="C18" s="232" t="s">
        <v>153</v>
      </c>
      <c r="D18" s="233"/>
      <c r="E18" s="233"/>
      <c r="F18" s="233"/>
      <c r="G18" s="234"/>
      <c r="H18" s="235"/>
      <c r="I18" s="236" t="s">
        <v>154</v>
      </c>
      <c r="J18" s="237"/>
      <c r="K18" s="238">
        <f>3182948.95</f>
        <v>3182948.95</v>
      </c>
      <c r="L18" s="239"/>
      <c r="M18" s="240"/>
      <c r="N18" s="105"/>
      <c r="O18" s="105"/>
      <c r="P18" s="105"/>
      <c r="Q18" s="105"/>
      <c r="R18" s="105"/>
      <c r="S18" s="105"/>
      <c r="T18" s="105"/>
      <c r="U18" s="105"/>
    </row>
    <row r="19" spans="1:21" x14ac:dyDescent="0.25">
      <c r="A19" s="230"/>
      <c r="B19" s="255"/>
      <c r="C19" s="232" t="s">
        <v>155</v>
      </c>
      <c r="D19" s="233"/>
      <c r="E19" s="233"/>
      <c r="F19" s="233"/>
      <c r="G19" s="234"/>
      <c r="H19" s="235"/>
      <c r="I19" s="236" t="s">
        <v>156</v>
      </c>
      <c r="J19" s="237"/>
      <c r="K19" s="238">
        <v>28392.34</v>
      </c>
      <c r="L19" s="239"/>
      <c r="M19" s="240"/>
      <c r="N19" s="105"/>
      <c r="O19" s="105"/>
      <c r="P19" s="105"/>
      <c r="Q19" s="105"/>
      <c r="R19" s="105"/>
      <c r="S19" s="105"/>
      <c r="T19" s="105"/>
      <c r="U19" s="105"/>
    </row>
    <row r="20" spans="1:21" x14ac:dyDescent="0.25">
      <c r="A20" s="230"/>
      <c r="B20" s="255"/>
      <c r="C20" s="232" t="s">
        <v>146</v>
      </c>
      <c r="D20" s="233"/>
      <c r="E20" s="233"/>
      <c r="F20" s="233"/>
      <c r="G20" s="234"/>
      <c r="H20" s="235"/>
      <c r="I20" s="236" t="s">
        <v>147</v>
      </c>
      <c r="J20" s="237"/>
      <c r="K20" s="238">
        <f>564434</f>
        <v>564434</v>
      </c>
      <c r="L20" s="239"/>
      <c r="M20" s="240"/>
      <c r="N20" s="105"/>
      <c r="O20" s="105"/>
      <c r="P20" s="105"/>
      <c r="Q20" s="105"/>
      <c r="R20" s="105"/>
      <c r="S20" s="105"/>
      <c r="T20" s="105"/>
      <c r="U20" s="105"/>
    </row>
    <row r="21" spans="1:21" x14ac:dyDescent="0.25">
      <c r="A21" s="230"/>
      <c r="B21" s="255"/>
      <c r="C21" s="241" t="s">
        <v>144</v>
      </c>
      <c r="D21" s="241"/>
      <c r="E21" s="241"/>
      <c r="F21" s="241"/>
      <c r="G21" s="242"/>
      <c r="H21" s="242"/>
      <c r="I21" s="236" t="s">
        <v>145</v>
      </c>
      <c r="J21" s="237"/>
      <c r="K21" s="238">
        <f>530975.36</f>
        <v>530975.36</v>
      </c>
      <c r="L21" s="239"/>
      <c r="M21" s="240"/>
    </row>
    <row r="22" spans="1:21" x14ac:dyDescent="0.25">
      <c r="A22" s="230"/>
      <c r="B22" s="256"/>
      <c r="C22" s="247" t="s">
        <v>148</v>
      </c>
      <c r="D22" s="248"/>
      <c r="E22" s="248"/>
      <c r="F22" s="248"/>
      <c r="G22" s="248"/>
      <c r="H22" s="249"/>
      <c r="I22" s="250"/>
      <c r="J22" s="251"/>
      <c r="K22" s="252">
        <f>SUM(K16:M21)</f>
        <v>11102367.42</v>
      </c>
      <c r="L22" s="253"/>
      <c r="M22" s="254"/>
    </row>
    <row r="23" spans="1:21" ht="5.25" customHeight="1" x14ac:dyDescent="0.25"/>
    <row r="24" spans="1:21" ht="15" customHeight="1" x14ac:dyDescent="0.25">
      <c r="A24" s="191" t="s">
        <v>0</v>
      </c>
      <c r="B24" s="257"/>
      <c r="C24" s="258" t="s">
        <v>157</v>
      </c>
      <c r="D24" s="192"/>
      <c r="E24" s="192"/>
      <c r="F24" s="192"/>
      <c r="G24" s="192"/>
      <c r="H24" s="192"/>
      <c r="I24" s="192"/>
      <c r="J24" s="259" t="s">
        <v>3</v>
      </c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88" t="s">
        <v>158</v>
      </c>
    </row>
    <row r="25" spans="1:21" ht="22.5" customHeight="1" x14ac:dyDescent="0.25">
      <c r="A25" s="191"/>
      <c r="B25" s="257"/>
      <c r="C25" s="188" t="s">
        <v>159</v>
      </c>
      <c r="D25" s="188"/>
      <c r="E25" s="188"/>
      <c r="F25" s="188"/>
      <c r="G25" s="188" t="s">
        <v>6</v>
      </c>
      <c r="H25" s="188" t="s">
        <v>7</v>
      </c>
      <c r="I25" s="188" t="s">
        <v>8</v>
      </c>
      <c r="J25" s="262" t="s">
        <v>160</v>
      </c>
      <c r="K25" s="263"/>
      <c r="L25" s="263"/>
      <c r="M25" s="240"/>
      <c r="N25" s="179" t="s">
        <v>6</v>
      </c>
      <c r="O25" s="264"/>
      <c r="P25" s="179" t="s">
        <v>7</v>
      </c>
      <c r="Q25" s="264"/>
      <c r="R25" s="179" t="s">
        <v>8</v>
      </c>
      <c r="S25" s="264"/>
      <c r="T25" s="188" t="s">
        <v>161</v>
      </c>
      <c r="U25" s="189"/>
    </row>
    <row r="26" spans="1:21" ht="22.5" x14ac:dyDescent="0.25">
      <c r="A26" s="191"/>
      <c r="B26" s="257"/>
      <c r="C26" s="261"/>
      <c r="D26" s="261"/>
      <c r="E26" s="261"/>
      <c r="F26" s="261"/>
      <c r="G26" s="261"/>
      <c r="H26" s="261"/>
      <c r="I26" s="261"/>
      <c r="J26" s="106" t="s">
        <v>6</v>
      </c>
      <c r="K26" s="1" t="s">
        <v>7</v>
      </c>
      <c r="L26" s="107" t="s">
        <v>8</v>
      </c>
      <c r="M26" s="107" t="s">
        <v>162</v>
      </c>
      <c r="N26" s="107" t="s">
        <v>163</v>
      </c>
      <c r="O26" s="107" t="s">
        <v>164</v>
      </c>
      <c r="P26" s="107" t="s">
        <v>163</v>
      </c>
      <c r="Q26" s="107" t="s">
        <v>164</v>
      </c>
      <c r="R26" s="107" t="s">
        <v>163</v>
      </c>
      <c r="S26" s="107" t="s">
        <v>164</v>
      </c>
      <c r="T26" s="260"/>
      <c r="U26" s="260"/>
    </row>
    <row r="27" spans="1:21" x14ac:dyDescent="0.25">
      <c r="A27" s="108" t="s">
        <v>165</v>
      </c>
      <c r="B27" s="109" t="s">
        <v>166</v>
      </c>
      <c r="C27" s="110"/>
      <c r="D27" s="110"/>
      <c r="E27" s="110"/>
      <c r="F27" s="110"/>
      <c r="G27" s="110"/>
      <c r="H27" s="110"/>
      <c r="I27" s="110"/>
      <c r="J27" s="111"/>
      <c r="K27" s="110"/>
      <c r="L27" s="112"/>
      <c r="M27" s="112"/>
      <c r="N27" s="112"/>
      <c r="O27" s="112"/>
      <c r="P27" s="112"/>
      <c r="Q27" s="112"/>
      <c r="R27" s="112"/>
      <c r="S27" s="112"/>
      <c r="T27" s="112"/>
      <c r="U27" s="113"/>
    </row>
    <row r="28" spans="1:21" x14ac:dyDescent="0.25">
      <c r="A28" s="114" t="s">
        <v>167</v>
      </c>
      <c r="B28" s="115" t="s">
        <v>102</v>
      </c>
      <c r="C28" s="116">
        <f>G28</f>
        <v>17752771</v>
      </c>
      <c r="D28" s="116"/>
      <c r="E28" s="116"/>
      <c r="F28" s="116"/>
      <c r="G28" s="116">
        <f>SUM(G29:G30)</f>
        <v>17752771</v>
      </c>
      <c r="H28" s="116" t="s">
        <v>168</v>
      </c>
      <c r="I28" s="116" t="s">
        <v>168</v>
      </c>
      <c r="J28" s="117">
        <v>0</v>
      </c>
      <c r="K28" s="116">
        <v>0</v>
      </c>
      <c r="L28" s="116">
        <v>0</v>
      </c>
      <c r="M28" s="116">
        <v>0</v>
      </c>
      <c r="N28" s="116">
        <f>SUM(N29:N30)</f>
        <v>21229153.528000001</v>
      </c>
      <c r="O28" s="118">
        <f>N28/G28</f>
        <v>1.1958219664975118</v>
      </c>
      <c r="P28" s="116">
        <v>0</v>
      </c>
      <c r="Q28" s="116"/>
      <c r="R28" s="116">
        <v>0</v>
      </c>
      <c r="S28" s="116"/>
      <c r="T28" s="116">
        <f>SUM(T29:T30)</f>
        <v>21229153.528000001</v>
      </c>
      <c r="U28" s="119">
        <f>T28/C28</f>
        <v>1.1958219664975118</v>
      </c>
    </row>
    <row r="29" spans="1:21" x14ac:dyDescent="0.25">
      <c r="A29" s="120" t="s">
        <v>169</v>
      </c>
      <c r="B29" s="121" t="s">
        <v>170</v>
      </c>
      <c r="C29" s="122">
        <f>G29</f>
        <v>9000000</v>
      </c>
      <c r="D29" s="122"/>
      <c r="E29" s="122"/>
      <c r="F29" s="122"/>
      <c r="G29" s="122">
        <v>9000000</v>
      </c>
      <c r="H29" s="122" t="s">
        <v>168</v>
      </c>
      <c r="I29" s="122" t="s">
        <v>168</v>
      </c>
      <c r="J29" s="123">
        <v>0</v>
      </c>
      <c r="K29" s="122">
        <v>0</v>
      </c>
      <c r="L29" s="122">
        <v>0</v>
      </c>
      <c r="M29" s="122">
        <v>0</v>
      </c>
      <c r="N29" s="122">
        <v>15100000</v>
      </c>
      <c r="O29" s="124">
        <f>N29/G29</f>
        <v>1.6777777777777778</v>
      </c>
      <c r="P29" s="122">
        <v>0</v>
      </c>
      <c r="Q29" s="122"/>
      <c r="R29" s="122">
        <v>0</v>
      </c>
      <c r="S29" s="122"/>
      <c r="T29" s="122">
        <f>N29+P29+R29</f>
        <v>15100000</v>
      </c>
      <c r="U29" s="125">
        <f>T29/C29</f>
        <v>1.6777777777777778</v>
      </c>
    </row>
    <row r="30" spans="1:21" ht="33.75" x14ac:dyDescent="0.25">
      <c r="A30" s="120" t="s">
        <v>171</v>
      </c>
      <c r="B30" s="121" t="s">
        <v>172</v>
      </c>
      <c r="C30" s="122">
        <f t="shared" ref="C30:C31" si="0">G30</f>
        <v>8752771</v>
      </c>
      <c r="D30" s="122"/>
      <c r="E30" s="122"/>
      <c r="F30" s="122"/>
      <c r="G30" s="122">
        <v>8752771</v>
      </c>
      <c r="H30" s="122" t="s">
        <v>168</v>
      </c>
      <c r="I30" s="122" t="s">
        <v>168</v>
      </c>
      <c r="J30" s="123">
        <v>0</v>
      </c>
      <c r="K30" s="122">
        <v>0</v>
      </c>
      <c r="L30" s="122">
        <v>0</v>
      </c>
      <c r="M30" s="122">
        <v>0</v>
      </c>
      <c r="N30" s="126">
        <f>'[1]Расходная часть'!M31</f>
        <v>6129153.5279999999</v>
      </c>
      <c r="O30" s="124">
        <f>N30/G30</f>
        <v>0.70025292881534318</v>
      </c>
      <c r="P30" s="122">
        <v>0</v>
      </c>
      <c r="Q30" s="122"/>
      <c r="R30" s="122">
        <v>0</v>
      </c>
      <c r="S30" s="122"/>
      <c r="T30" s="122">
        <f>N30+P30+R30</f>
        <v>6129153.5279999999</v>
      </c>
      <c r="U30" s="125">
        <f>T30/C30</f>
        <v>0.70025292881534318</v>
      </c>
    </row>
    <row r="31" spans="1:21" x14ac:dyDescent="0.25">
      <c r="A31" s="127" t="s">
        <v>173</v>
      </c>
      <c r="B31" s="128" t="s">
        <v>174</v>
      </c>
      <c r="C31" s="122">
        <f t="shared" si="0"/>
        <v>2189942</v>
      </c>
      <c r="D31" s="129"/>
      <c r="E31" s="129"/>
      <c r="F31" s="129"/>
      <c r="G31" s="129">
        <v>2189942</v>
      </c>
      <c r="H31" s="129" t="s">
        <v>168</v>
      </c>
      <c r="I31" s="122" t="s">
        <v>168</v>
      </c>
      <c r="J31" s="130">
        <v>0</v>
      </c>
      <c r="K31" s="129">
        <v>0</v>
      </c>
      <c r="L31" s="129">
        <v>0</v>
      </c>
      <c r="M31" s="129">
        <v>0</v>
      </c>
      <c r="N31" s="126">
        <f>'[1]Расходная часть'!M32</f>
        <v>1532288.3820000002</v>
      </c>
      <c r="O31" s="131">
        <f>N31/G31</f>
        <v>0.69969359097181583</v>
      </c>
      <c r="P31" s="132">
        <v>0</v>
      </c>
      <c r="Q31" s="129"/>
      <c r="R31" s="129">
        <v>0</v>
      </c>
      <c r="S31" s="129"/>
      <c r="T31" s="122">
        <f t="shared" ref="T31" si="1">N31+P31+R31</f>
        <v>1532288.3820000002</v>
      </c>
      <c r="U31" s="125">
        <f>T31/C31</f>
        <v>0.69969359097181583</v>
      </c>
    </row>
    <row r="32" spans="1:21" ht="18" x14ac:dyDescent="0.25">
      <c r="A32" s="133" t="s">
        <v>13</v>
      </c>
      <c r="B32" s="134" t="s">
        <v>175</v>
      </c>
      <c r="C32" s="135">
        <f>SUM(C33:C34)</f>
        <v>20860000</v>
      </c>
      <c r="D32" s="135">
        <f t="shared" ref="D32:I32" si="2">SUM(D33:D34)</f>
        <v>0</v>
      </c>
      <c r="E32" s="135">
        <f t="shared" si="2"/>
        <v>0</v>
      </c>
      <c r="F32" s="135">
        <f t="shared" si="2"/>
        <v>0</v>
      </c>
      <c r="G32" s="135">
        <f t="shared" si="2"/>
        <v>11360000</v>
      </c>
      <c r="H32" s="135">
        <f t="shared" si="2"/>
        <v>6440000</v>
      </c>
      <c r="I32" s="135">
        <f t="shared" si="2"/>
        <v>3060000</v>
      </c>
      <c r="J32" s="136">
        <f>SUM(J33:J34)</f>
        <v>100000</v>
      </c>
      <c r="K32" s="135">
        <f t="shared" ref="K32:M32" si="3">SUM(K33:K34)</f>
        <v>115500</v>
      </c>
      <c r="L32" s="135">
        <f t="shared" si="3"/>
        <v>0</v>
      </c>
      <c r="M32" s="135">
        <f t="shared" si="3"/>
        <v>0</v>
      </c>
      <c r="N32" s="135">
        <f>SUM(N33:N34)</f>
        <v>10795000</v>
      </c>
      <c r="O32" s="137">
        <f>N32/G32</f>
        <v>0.95026408450704225</v>
      </c>
      <c r="P32" s="135">
        <f t="shared" ref="P32:S32" si="4">SUM(P33:P34)</f>
        <v>5280000</v>
      </c>
      <c r="Q32" s="137">
        <f t="shared" si="4"/>
        <v>0.81987577639751552</v>
      </c>
      <c r="R32" s="135">
        <f t="shared" si="4"/>
        <v>3150000</v>
      </c>
      <c r="S32" s="137">
        <f t="shared" si="4"/>
        <v>1.0294117647058822</v>
      </c>
      <c r="T32" s="135">
        <f>SUM(T33:T34)</f>
        <v>19225000</v>
      </c>
      <c r="U32" s="137">
        <f>T32/C32</f>
        <v>0.92162032598274213</v>
      </c>
    </row>
    <row r="33" spans="1:21" hidden="1" x14ac:dyDescent="0.25">
      <c r="A33" s="114" t="s">
        <v>176</v>
      </c>
      <c r="B33" s="115" t="s">
        <v>177</v>
      </c>
      <c r="C33" s="116" t="s">
        <v>168</v>
      </c>
      <c r="D33" s="116"/>
      <c r="E33" s="116"/>
      <c r="F33" s="116"/>
      <c r="G33" s="116" t="s">
        <v>168</v>
      </c>
      <c r="H33" s="116" t="s">
        <v>168</v>
      </c>
      <c r="I33" s="116" t="s">
        <v>168</v>
      </c>
      <c r="J33" s="117" t="s">
        <v>168</v>
      </c>
      <c r="K33" s="116" t="s">
        <v>168</v>
      </c>
      <c r="L33" s="116" t="s">
        <v>168</v>
      </c>
      <c r="M33" s="116" t="s">
        <v>168</v>
      </c>
      <c r="N33" s="116" t="s">
        <v>168</v>
      </c>
      <c r="O33" s="116" t="s">
        <v>168</v>
      </c>
      <c r="P33" s="116" t="s">
        <v>168</v>
      </c>
      <c r="Q33" s="116" t="s">
        <v>168</v>
      </c>
      <c r="R33" s="116" t="s">
        <v>168</v>
      </c>
      <c r="S33" s="116" t="s">
        <v>168</v>
      </c>
      <c r="T33" s="116" t="s">
        <v>168</v>
      </c>
      <c r="U33" s="138" t="s">
        <v>168</v>
      </c>
    </row>
    <row r="34" spans="1:21" ht="22.5" x14ac:dyDescent="0.25">
      <c r="A34" s="114" t="s">
        <v>176</v>
      </c>
      <c r="B34" s="115" t="s">
        <v>178</v>
      </c>
      <c r="C34" s="116">
        <f>SUM(G34:I34)</f>
        <v>20860000</v>
      </c>
      <c r="D34" s="116"/>
      <c r="E34" s="116"/>
      <c r="F34" s="116"/>
      <c r="G34" s="116">
        <f>SUM(G35:G38)</f>
        <v>11360000</v>
      </c>
      <c r="H34" s="116">
        <f t="shared" ref="H34:I34" si="5">SUM(H35:H38)</f>
        <v>6440000</v>
      </c>
      <c r="I34" s="116">
        <f t="shared" si="5"/>
        <v>3060000</v>
      </c>
      <c r="J34" s="117">
        <f>SUM(J35:J38)</f>
        <v>100000</v>
      </c>
      <c r="K34" s="116">
        <v>115500</v>
      </c>
      <c r="L34" s="116">
        <v>0</v>
      </c>
      <c r="M34" s="116">
        <v>0</v>
      </c>
      <c r="N34" s="116">
        <f>SUM(N35:N38)</f>
        <v>10795000</v>
      </c>
      <c r="O34" s="118">
        <f>N34/G34</f>
        <v>0.95026408450704225</v>
      </c>
      <c r="P34" s="116">
        <f>SUM(P35:P38)</f>
        <v>5280000</v>
      </c>
      <c r="Q34" s="118">
        <f>P34/H34</f>
        <v>0.81987577639751552</v>
      </c>
      <c r="R34" s="116">
        <f>SUM(R35:R38)</f>
        <v>3150000</v>
      </c>
      <c r="S34" s="118">
        <f>R34/I34</f>
        <v>1.0294117647058822</v>
      </c>
      <c r="T34" s="116">
        <f>SUM(T35:T38)</f>
        <v>19225000</v>
      </c>
      <c r="U34" s="119">
        <f>T34/C34</f>
        <v>0.92162032598274213</v>
      </c>
    </row>
    <row r="35" spans="1:21" ht="22.5" x14ac:dyDescent="0.25">
      <c r="A35" s="139"/>
      <c r="B35" s="140" t="s">
        <v>179</v>
      </c>
      <c r="C35" s="141">
        <f>SUM(G35:I35)</f>
        <v>4860000</v>
      </c>
      <c r="D35" s="141"/>
      <c r="E35" s="141"/>
      <c r="F35" s="141"/>
      <c r="G35" s="141">
        <f>31*60000</f>
        <v>1860000</v>
      </c>
      <c r="H35" s="141">
        <f>39*60000</f>
        <v>2340000</v>
      </c>
      <c r="I35" s="141">
        <f>11*60000</f>
        <v>660000</v>
      </c>
      <c r="J35" s="142"/>
      <c r="K35" s="141"/>
      <c r="L35" s="141"/>
      <c r="M35" s="141"/>
      <c r="N35" s="141">
        <f>25*60000</f>
        <v>1500000</v>
      </c>
      <c r="O35" s="143">
        <f>N35/G35</f>
        <v>0.80645161290322576</v>
      </c>
      <c r="P35" s="141">
        <f>37*60000-30000-50000-50000-10000</f>
        <v>2080000</v>
      </c>
      <c r="Q35" s="143">
        <f>P35/H35</f>
        <v>0.88888888888888884</v>
      </c>
      <c r="R35" s="141">
        <f>10*60000</f>
        <v>600000</v>
      </c>
      <c r="S35" s="143">
        <f>R35/I35</f>
        <v>0.90909090909090906</v>
      </c>
      <c r="T35" s="141">
        <f t="shared" ref="T35:T36" si="6">SUM(N35,P35,R35)</f>
        <v>4180000</v>
      </c>
      <c r="U35" s="144">
        <f>T35/C35</f>
        <v>0.86008230452674894</v>
      </c>
    </row>
    <row r="36" spans="1:21" ht="22.5" x14ac:dyDescent="0.25">
      <c r="A36" s="139"/>
      <c r="B36" s="140" t="s">
        <v>180</v>
      </c>
      <c r="C36" s="141">
        <f t="shared" ref="C36:C38" si="7">SUM(G36:I36)</f>
        <v>7200000</v>
      </c>
      <c r="D36" s="141"/>
      <c r="E36" s="141"/>
      <c r="F36" s="141"/>
      <c r="G36" s="141">
        <f>36*100000</f>
        <v>3600000</v>
      </c>
      <c r="H36" s="141">
        <f>21*100000</f>
        <v>2100000</v>
      </c>
      <c r="I36" s="141">
        <f>15*100000</f>
        <v>1500000</v>
      </c>
      <c r="J36" s="142">
        <v>100000</v>
      </c>
      <c r="K36" s="141"/>
      <c r="L36" s="141"/>
      <c r="M36" s="141"/>
      <c r="N36" s="141">
        <f>30*100000+45000</f>
        <v>3045000</v>
      </c>
      <c r="O36" s="143">
        <f t="shared" ref="O36:O38" si="8">N36/G36</f>
        <v>0.84583333333333333</v>
      </c>
      <c r="P36" s="141">
        <f>25*100000-50000</f>
        <v>2450000</v>
      </c>
      <c r="Q36" s="143">
        <f t="shared" ref="Q36:Q37" si="9">P36/H36</f>
        <v>1.1666666666666667</v>
      </c>
      <c r="R36" s="141">
        <f>17*100000-50000</f>
        <v>1650000</v>
      </c>
      <c r="S36" s="143">
        <f t="shared" ref="S36:S38" si="10">R36/I36</f>
        <v>1.1000000000000001</v>
      </c>
      <c r="T36" s="141">
        <f t="shared" si="6"/>
        <v>7145000</v>
      </c>
      <c r="U36" s="144">
        <f t="shared" ref="U36:U38" si="11">T36/C36</f>
        <v>0.99236111111111114</v>
      </c>
    </row>
    <row r="37" spans="1:21" ht="22.5" x14ac:dyDescent="0.25">
      <c r="A37" s="139"/>
      <c r="B37" s="140" t="s">
        <v>181</v>
      </c>
      <c r="C37" s="141">
        <f t="shared" si="7"/>
        <v>6000000</v>
      </c>
      <c r="D37" s="141"/>
      <c r="E37" s="141"/>
      <c r="F37" s="141"/>
      <c r="G37" s="141">
        <f>14*250000</f>
        <v>3500000</v>
      </c>
      <c r="H37" s="141">
        <f>8*250000</f>
        <v>2000000</v>
      </c>
      <c r="I37" s="141">
        <f>2*250000</f>
        <v>500000</v>
      </c>
      <c r="J37" s="142"/>
      <c r="K37" s="141"/>
      <c r="L37" s="141"/>
      <c r="M37" s="141"/>
      <c r="N37" s="141">
        <f>17*250000</f>
        <v>4250000</v>
      </c>
      <c r="O37" s="143">
        <f t="shared" si="8"/>
        <v>1.2142857142857142</v>
      </c>
      <c r="P37" s="141">
        <f>2*250000-150000</f>
        <v>350000</v>
      </c>
      <c r="Q37" s="143">
        <f t="shared" si="9"/>
        <v>0.17499999999999999</v>
      </c>
      <c r="R37" s="141">
        <f>2*250000</f>
        <v>500000</v>
      </c>
      <c r="S37" s="143">
        <f t="shared" si="10"/>
        <v>1</v>
      </c>
      <c r="T37" s="141">
        <f>SUM(N37,P37,R37)</f>
        <v>5100000</v>
      </c>
      <c r="U37" s="144">
        <f t="shared" si="11"/>
        <v>0.85</v>
      </c>
    </row>
    <row r="38" spans="1:21" ht="22.5" x14ac:dyDescent="0.25">
      <c r="A38" s="139"/>
      <c r="B38" s="140" t="s">
        <v>182</v>
      </c>
      <c r="C38" s="141">
        <f t="shared" si="7"/>
        <v>2800000</v>
      </c>
      <c r="D38" s="141"/>
      <c r="E38" s="141"/>
      <c r="F38" s="141"/>
      <c r="G38" s="141">
        <f>6*400000</f>
        <v>2400000</v>
      </c>
      <c r="H38" s="141">
        <f>0*400000</f>
        <v>0</v>
      </c>
      <c r="I38" s="141">
        <f>1*400000</f>
        <v>400000</v>
      </c>
      <c r="J38" s="142"/>
      <c r="K38" s="141"/>
      <c r="L38" s="141"/>
      <c r="M38" s="141"/>
      <c r="N38" s="141">
        <f>5*400000</f>
        <v>2000000</v>
      </c>
      <c r="O38" s="143">
        <f t="shared" si="8"/>
        <v>0.83333333333333337</v>
      </c>
      <c r="P38" s="141">
        <f>1*400000</f>
        <v>400000</v>
      </c>
      <c r="Q38" s="143">
        <v>0</v>
      </c>
      <c r="R38" s="141">
        <f>1*400000</f>
        <v>400000</v>
      </c>
      <c r="S38" s="143">
        <f t="shared" si="10"/>
        <v>1</v>
      </c>
      <c r="T38" s="141">
        <f>SUM(N38,P38,R38)</f>
        <v>2800000</v>
      </c>
      <c r="U38" s="144">
        <f t="shared" si="11"/>
        <v>1</v>
      </c>
    </row>
    <row r="39" spans="1:21" ht="22.5" x14ac:dyDescent="0.25">
      <c r="A39" s="114" t="s">
        <v>183</v>
      </c>
      <c r="B39" s="115" t="s">
        <v>184</v>
      </c>
      <c r="C39" s="116"/>
      <c r="D39" s="116"/>
      <c r="E39" s="116"/>
      <c r="F39" s="116"/>
      <c r="G39" s="116"/>
      <c r="H39" s="116"/>
      <c r="I39" s="116"/>
      <c r="J39" s="117"/>
      <c r="K39" s="116"/>
      <c r="L39" s="116"/>
      <c r="M39" s="116"/>
      <c r="N39" s="116">
        <f>N40</f>
        <v>383576.08</v>
      </c>
      <c r="O39" s="116" t="s">
        <v>168</v>
      </c>
      <c r="P39" s="116">
        <f>P40</f>
        <v>205324.33</v>
      </c>
      <c r="Q39" s="116" t="s">
        <v>168</v>
      </c>
      <c r="R39" s="116">
        <f>R40</f>
        <v>121520.44</v>
      </c>
      <c r="S39" s="116" t="s">
        <v>168</v>
      </c>
      <c r="T39" s="116">
        <f>T40</f>
        <v>710420.85000000009</v>
      </c>
      <c r="U39" s="138" t="s">
        <v>168</v>
      </c>
    </row>
    <row r="40" spans="1:21" ht="43.5" customHeight="1" x14ac:dyDescent="0.25">
      <c r="A40" s="139"/>
      <c r="B40" s="145" t="s">
        <v>185</v>
      </c>
      <c r="C40" s="141"/>
      <c r="D40" s="141"/>
      <c r="E40" s="141"/>
      <c r="F40" s="141"/>
      <c r="G40" s="141"/>
      <c r="H40" s="141"/>
      <c r="I40" s="141"/>
      <c r="J40" s="142"/>
      <c r="K40" s="141"/>
      <c r="L40" s="141"/>
      <c r="M40" s="141"/>
      <c r="N40" s="141">
        <v>383576.08</v>
      </c>
      <c r="O40" s="141" t="s">
        <v>168</v>
      </c>
      <c r="P40" s="141">
        <v>205324.33</v>
      </c>
      <c r="Q40" s="141" t="s">
        <v>168</v>
      </c>
      <c r="R40" s="141">
        <v>121520.44</v>
      </c>
      <c r="S40" s="141" t="s">
        <v>168</v>
      </c>
      <c r="T40" s="141">
        <f>SUM(N40,P40,R40)</f>
        <v>710420.85000000009</v>
      </c>
      <c r="U40" s="146" t="s">
        <v>168</v>
      </c>
    </row>
    <row r="41" spans="1:21" ht="42" customHeight="1" x14ac:dyDescent="0.25">
      <c r="A41" s="147"/>
      <c r="B41" s="148" t="s">
        <v>186</v>
      </c>
      <c r="C41" s="149"/>
      <c r="D41" s="149"/>
      <c r="E41" s="149"/>
      <c r="F41" s="149"/>
      <c r="G41" s="149"/>
      <c r="H41" s="149"/>
      <c r="I41" s="149"/>
      <c r="J41" s="150"/>
      <c r="K41" s="151"/>
      <c r="L41" s="151"/>
      <c r="M41" s="151"/>
      <c r="N41" s="151">
        <v>184493.15</v>
      </c>
      <c r="O41" s="151" t="s">
        <v>168</v>
      </c>
      <c r="P41" s="151">
        <v>0</v>
      </c>
      <c r="Q41" s="151" t="s">
        <v>168</v>
      </c>
      <c r="R41" s="151">
        <v>0</v>
      </c>
      <c r="S41" s="151" t="s">
        <v>168</v>
      </c>
      <c r="T41" s="152">
        <f>SUM(N41,P41,R41)</f>
        <v>184493.15</v>
      </c>
      <c r="U41" s="153" t="s">
        <v>168</v>
      </c>
    </row>
    <row r="42" spans="1:21" hidden="1" x14ac:dyDescent="0.25">
      <c r="A42" s="154"/>
      <c r="B42" s="155" t="s">
        <v>187</v>
      </c>
      <c r="C42" s="156"/>
      <c r="D42" s="157"/>
      <c r="E42" s="157"/>
      <c r="F42" s="157"/>
      <c r="J42" s="158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59"/>
    </row>
    <row r="43" spans="1:21" ht="45" hidden="1" x14ac:dyDescent="0.25">
      <c r="A43" s="160"/>
      <c r="B43" s="161" t="s">
        <v>188</v>
      </c>
      <c r="C43" s="162">
        <f>SUM(D43:F43)</f>
        <v>0</v>
      </c>
      <c r="D43" s="163">
        <f>(E33+F33)*0.3</f>
        <v>0</v>
      </c>
      <c r="E43" s="163">
        <f>-E33*0.3</f>
        <v>0</v>
      </c>
      <c r="F43" s="163">
        <f>-F33*0.3</f>
        <v>0</v>
      </c>
      <c r="G43" s="164">
        <f>SUM(H43:I43)</f>
        <v>2850000</v>
      </c>
      <c r="H43" s="164">
        <f>H34*30%</f>
        <v>1932000</v>
      </c>
      <c r="I43" s="164">
        <f>I34*30%</f>
        <v>918000</v>
      </c>
      <c r="J43" s="164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65"/>
    </row>
    <row r="44" spans="1:21" ht="45.75" hidden="1" thickBot="1" x14ac:dyDescent="0.3">
      <c r="A44" s="160"/>
      <c r="B44" s="161" t="s">
        <v>189</v>
      </c>
      <c r="C44" s="166">
        <f>SUM(G44:I44)</f>
        <v>20860000</v>
      </c>
      <c r="D44" s="163">
        <f>D33+D43</f>
        <v>0</v>
      </c>
      <c r="E44" s="163">
        <f t="shared" ref="E44:F44" si="12">E33+E43</f>
        <v>0</v>
      </c>
      <c r="F44" s="163">
        <f t="shared" si="12"/>
        <v>0</v>
      </c>
      <c r="G44" s="164">
        <f>G34+G43</f>
        <v>14210000</v>
      </c>
      <c r="H44" s="164">
        <f>H34-H43</f>
        <v>4508000</v>
      </c>
      <c r="I44" s="164">
        <f>I34-I43</f>
        <v>2142000</v>
      </c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65"/>
    </row>
    <row r="45" spans="1:21" hidden="1" x14ac:dyDescent="0.25">
      <c r="A45" s="167"/>
      <c r="B45" s="168"/>
      <c r="C45" s="169"/>
      <c r="D45" s="169"/>
      <c r="E45" s="169"/>
      <c r="F45" s="169"/>
      <c r="G45" s="169"/>
      <c r="H45" s="169"/>
      <c r="I45" s="169"/>
      <c r="J45" s="170"/>
      <c r="K45" s="170"/>
      <c r="L45" s="170"/>
      <c r="M45" s="170"/>
      <c r="N45" s="170"/>
      <c r="O45" s="170"/>
      <c r="P45" s="122"/>
      <c r="Q45" s="122"/>
      <c r="R45" s="122"/>
      <c r="S45" s="122"/>
      <c r="T45" s="122"/>
      <c r="U45" s="165"/>
    </row>
    <row r="46" spans="1:21" hidden="1" x14ac:dyDescent="0.25">
      <c r="A46" s="147"/>
      <c r="B46" s="171"/>
      <c r="C46" s="172"/>
      <c r="D46" s="172"/>
      <c r="E46" s="172"/>
      <c r="F46" s="172"/>
      <c r="G46" s="172"/>
      <c r="H46" s="172"/>
      <c r="I46" s="172"/>
      <c r="J46" s="17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73"/>
    </row>
  </sheetData>
  <mergeCells count="76">
    <mergeCell ref="R25:S25"/>
    <mergeCell ref="A24:A26"/>
    <mergeCell ref="B24:B26"/>
    <mergeCell ref="C24:I24"/>
    <mergeCell ref="J24:T24"/>
    <mergeCell ref="U24:U26"/>
    <mergeCell ref="C25:C26"/>
    <mergeCell ref="D25:D26"/>
    <mergeCell ref="E25:E26"/>
    <mergeCell ref="F25:F26"/>
    <mergeCell ref="G25:G26"/>
    <mergeCell ref="T25:T26"/>
    <mergeCell ref="H25:H26"/>
    <mergeCell ref="I25:I26"/>
    <mergeCell ref="J25:M25"/>
    <mergeCell ref="N25:O25"/>
    <mergeCell ref="P25:Q25"/>
    <mergeCell ref="K20:M20"/>
    <mergeCell ref="C21:H21"/>
    <mergeCell ref="I21:J21"/>
    <mergeCell ref="K21:M21"/>
    <mergeCell ref="C22:H22"/>
    <mergeCell ref="I22:J22"/>
    <mergeCell ref="K22:M22"/>
    <mergeCell ref="A16:A22"/>
    <mergeCell ref="B16:B22"/>
    <mergeCell ref="C16:H16"/>
    <mergeCell ref="I16:J16"/>
    <mergeCell ref="K16:M16"/>
    <mergeCell ref="C17:H17"/>
    <mergeCell ref="I17:J17"/>
    <mergeCell ref="K17:M17"/>
    <mergeCell ref="C18:H18"/>
    <mergeCell ref="I18:J18"/>
    <mergeCell ref="K18:M18"/>
    <mergeCell ref="C19:H19"/>
    <mergeCell ref="I19:J19"/>
    <mergeCell ref="K19:M19"/>
    <mergeCell ref="C20:H20"/>
    <mergeCell ref="I20:J20"/>
    <mergeCell ref="C14:H14"/>
    <mergeCell ref="I14:J14"/>
    <mergeCell ref="K14:M14"/>
    <mergeCell ref="C15:H15"/>
    <mergeCell ref="I15:J15"/>
    <mergeCell ref="K15:M15"/>
    <mergeCell ref="C11:H11"/>
    <mergeCell ref="I11:J11"/>
    <mergeCell ref="K11:M11"/>
    <mergeCell ref="C12:M12"/>
    <mergeCell ref="C13:H13"/>
    <mergeCell ref="I13:J13"/>
    <mergeCell ref="K13:M13"/>
    <mergeCell ref="K8:M8"/>
    <mergeCell ref="C9:H9"/>
    <mergeCell ref="I9:J9"/>
    <mergeCell ref="K9:M9"/>
    <mergeCell ref="C10:H10"/>
    <mergeCell ref="I10:J10"/>
    <mergeCell ref="K10:M10"/>
    <mergeCell ref="A1:U1"/>
    <mergeCell ref="A3:H3"/>
    <mergeCell ref="A4:A15"/>
    <mergeCell ref="B4:B15"/>
    <mergeCell ref="C4:M4"/>
    <mergeCell ref="C5:H5"/>
    <mergeCell ref="I5:J5"/>
    <mergeCell ref="K5:M5"/>
    <mergeCell ref="C6:H6"/>
    <mergeCell ref="I6:J6"/>
    <mergeCell ref="K6:M6"/>
    <mergeCell ref="C7:H7"/>
    <mergeCell ref="I7:J7"/>
    <mergeCell ref="K7:M7"/>
    <mergeCell ref="C8:H8"/>
    <mergeCell ref="I8:J8"/>
  </mergeCells>
  <pageMargins left="0.45" right="0.17" top="0.49" bottom="0.48" header="0.31496062992125984" footer="0.31496062992125984"/>
  <pageSetup paperSize="9" scale="75" orientation="landscape" horizontalDpi="180" verticalDpi="18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Расходная часть</vt:lpstr>
      <vt:lpstr>Доходная часть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2014-06-16T05:46:53Z</dcterms:modified>
</cp:coreProperties>
</file>